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cast" sheetId="1" state="visible" r:id="rId1"/>
    <sheet xmlns:r="http://schemas.openxmlformats.org/officeDocument/2006/relationships" name="2025 Actuals" sheetId="2" state="visible" r:id="rId2"/>
    <sheet xmlns:r="http://schemas.openxmlformats.org/officeDocument/2006/relationships" name="The Long Weekend" sheetId="3" state="visible" r:id="rId3"/>
    <sheet xmlns:r="http://schemas.openxmlformats.org/officeDocument/2006/relationships" name="The Long Pause" sheetId="4" state="visible" r:id="rId4"/>
    <sheet xmlns:r="http://schemas.openxmlformats.org/officeDocument/2006/relationships" name="The Long Reset" sheetId="5" state="visible" r:id="rId5"/>
    <sheet xmlns:r="http://schemas.openxmlformats.org/officeDocument/2006/relationships" name="The Long View" sheetId="6" state="visible" r:id="rId6"/>
    <sheet xmlns:r="http://schemas.openxmlformats.org/officeDocument/2006/relationships" name="Kanti" sheetId="7" state="visible" r:id="rId7"/>
    <sheet xmlns:r="http://schemas.openxmlformats.org/officeDocument/2006/relationships" name="Nidra" sheetId="8" state="visible" r:id="rId8"/>
    <sheet xmlns:r="http://schemas.openxmlformats.org/officeDocument/2006/relationships" name="Klesha" sheetId="9" state="visible" r:id="rId9"/>
    <sheet xmlns:r="http://schemas.openxmlformats.org/officeDocument/2006/relationships" name="Manas" sheetId="10" state="visible" r:id="rId10"/>
    <sheet xmlns:r="http://schemas.openxmlformats.org/officeDocument/2006/relationships" name="Kaya" sheetId="11" state="visible" r:id="rId11"/>
    <sheet xmlns:r="http://schemas.openxmlformats.org/officeDocument/2006/relationships" name="Vikrama" sheetId="12" state="visible" r:id="rId12"/>
    <sheet xmlns:r="http://schemas.openxmlformats.org/officeDocument/2006/relationships" name="Agni" sheetId="13" state="visible" r:id="rId13"/>
    <sheet xmlns:r="http://schemas.openxmlformats.org/officeDocument/2006/relationships" name="Upavasa" sheetId="14" state="visible" r:id="rId14"/>
    <sheet xmlns:r="http://schemas.openxmlformats.org/officeDocument/2006/relationships" name="Renovation" sheetId="15" state="visible" r:id="rId15"/>
    <sheet xmlns:r="http://schemas.openxmlformats.org/officeDocument/2006/relationships" name="Equipment" sheetId="16" state="visible" r:id="rId16"/>
    <sheet xmlns:r="http://schemas.openxmlformats.org/officeDocument/2006/relationships" name="Investment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£#,##0;-£#,##0;&quot;—&quot;"/>
    <numFmt numFmtId="165" formatCode="£#,##0.00"/>
    <numFmt numFmtId="166" formatCode="£#,##0.00&quot;M&quot;"/>
    <numFmt numFmtId="167" formatCode="0.00&quot;%&quot;"/>
    <numFmt numFmtId="168" formatCode="£#,##0&quot; /yr&quot;"/>
    <numFmt numFmtId="169" formatCode="0.00&quot;×&quot;"/>
  </numFmts>
  <fonts count="21">
    <font>
      <name val="Calibri"/>
      <family val="2"/>
      <color theme="1"/>
      <sz val="11"/>
      <scheme val="minor"/>
    </font>
    <font>
      <name val="Calibri"/>
      <b val="1"/>
      <color rgb="002A3726"/>
      <sz val="16"/>
    </font>
    <font>
      <name val="Calibri"/>
      <i val="1"/>
      <color rgb="007A736A"/>
      <sz val="9"/>
    </font>
    <font>
      <b val="1"/>
      <color rgb="002A3726"/>
      <sz val="11"/>
    </font>
    <font>
      <name val="Calibri"/>
      <b val="1"/>
      <color rgb="00B85A3A"/>
      <sz val="11"/>
    </font>
    <font>
      <b val="1"/>
      <i val="1"/>
      <color rgb="007A736A"/>
      <sz val="9"/>
    </font>
    <font>
      <b val="1"/>
      <color rgb="002A3726"/>
    </font>
    <font>
      <i val="1"/>
      <color rgb="007A736A"/>
      <sz val="9"/>
    </font>
    <font>
      <name val="Calibri"/>
      <b val="1"/>
      <color rgb="00FFFFFF"/>
      <sz val="11"/>
    </font>
    <font>
      <name val="Calibri"/>
      <b val="1"/>
      <color rgb="002A3726"/>
      <sz val="10"/>
    </font>
    <font>
      <b val="1"/>
      <color rgb="002A3726"/>
      <sz val="12"/>
    </font>
    <font>
      <color rgb="002A2826"/>
      <sz val="10"/>
    </font>
    <font>
      <b val="1"/>
      <color rgb="002A3726"/>
      <sz val="16"/>
    </font>
    <font>
      <i val="1"/>
      <color rgb="007A736A"/>
      <sz val="10"/>
    </font>
    <font>
      <b val="1"/>
      <color rgb="00B85A3A"/>
      <sz val="12"/>
    </font>
    <font>
      <i val="1"/>
      <color rgb="007A736A"/>
    </font>
    <font>
      <b val="1"/>
      <color rgb="00B85A3A"/>
    </font>
    <font>
      <b val="1"/>
      <i val="1"/>
      <color rgb="002A3726"/>
      <sz val="10"/>
    </font>
    <font>
      <color rgb="007A736A"/>
      <sz val="9"/>
    </font>
    <font>
      <b val="1"/>
      <color rgb="00B85A3A"/>
      <sz val="11"/>
    </font>
    <font>
      <b val="1"/>
      <color rgb="002A3726"/>
      <sz val="10"/>
    </font>
  </fonts>
  <fills count="6">
    <fill>
      <patternFill/>
    </fill>
    <fill>
      <patternFill patternType="gray125"/>
    </fill>
    <fill>
      <patternFill patternType="solid">
        <fgColor rgb="00FEF3EE"/>
        <bgColor rgb="00FEF3EE"/>
      </patternFill>
    </fill>
    <fill>
      <patternFill patternType="solid">
        <fgColor rgb="002A3726"/>
        <bgColor rgb="002A3726"/>
      </patternFill>
    </fill>
    <fill>
      <patternFill patternType="solid">
        <fgColor rgb="00EFE6D3"/>
        <bgColor rgb="00EFE6D3"/>
      </patternFill>
    </fill>
    <fill>
      <patternFill patternType="solid">
        <fgColor rgb="00E6D9BC"/>
        <bgColor rgb="00E6D9BC"/>
      </patternFill>
    </fill>
  </fills>
  <borders count="2">
    <border>
      <left/>
      <right/>
      <top/>
      <bottom/>
      <diagonal/>
    </border>
    <border>
      <top style="thin">
        <color rgb="002A3726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2" fontId="0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6" fillId="0" borderId="0" pivotButton="0" quotePrefix="0" xfId="0"/>
    <xf numFmtId="0" fontId="7" fillId="0" borderId="0" pivotButton="0" quotePrefix="0" xfId="0"/>
    <xf numFmtId="3" fontId="0" fillId="0" borderId="0" pivotButton="0" quotePrefix="0" xfId="0"/>
    <xf numFmtId="0" fontId="8" fillId="3" borderId="0" applyAlignment="1" pivotButton="0" quotePrefix="0" xfId="0">
      <alignment horizontal="left" vertical="center" wrapText="1"/>
    </xf>
    <xf numFmtId="0" fontId="9" fillId="4" borderId="0" applyAlignment="1" pivotButton="0" quotePrefix="0" xfId="0">
      <alignment horizontal="left" vertical="center"/>
    </xf>
    <xf numFmtId="164" fontId="0" fillId="0" borderId="0" pivotButton="0" quotePrefix="0" xfId="0"/>
    <xf numFmtId="0" fontId="9" fillId="5" borderId="1" pivotButton="0" quotePrefix="0" xfId="0"/>
    <xf numFmtId="164" fontId="9" fillId="5" borderId="1" pivotButton="0" quotePrefix="0" xfId="0"/>
    <xf numFmtId="164" fontId="10" fillId="5" borderId="1" pivotButton="0" quotePrefix="0" xfId="0"/>
    <xf numFmtId="164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11" fillId="0" borderId="0" pivotButton="0" quotePrefix="0" xfId="0"/>
    <xf numFmtId="165" fontId="9" fillId="5" borderId="1" pivotButton="0" quotePrefix="0" xfId="0"/>
    <xf numFmtId="165" fontId="0" fillId="0" borderId="0" pivotButton="0" quotePrefix="0" xfId="0"/>
    <xf numFmtId="0" fontId="7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0" pivotButton="0" quotePrefix="0" xfId="0"/>
    <xf numFmtId="164" fontId="14" fillId="0" borderId="0" pivotButton="0" quotePrefix="0" xfId="0"/>
    <xf numFmtId="0" fontId="15" fillId="0" borderId="0" pivotButton="0" quotePrefix="0" xfId="0"/>
    <xf numFmtId="0" fontId="10" fillId="0" borderId="0" pivotButton="0" quotePrefix="0" xfId="0"/>
    <xf numFmtId="9" fontId="16" fillId="0" borderId="0" pivotButton="0" quotePrefix="0" xfId="0"/>
    <xf numFmtId="0" fontId="0" fillId="0" borderId="0" applyAlignment="1" pivotButton="0" quotePrefix="0" xfId="0">
      <alignment vertical="top" wrapText="1"/>
    </xf>
    <xf numFmtId="166" fontId="0" fillId="0" borderId="0" pivotButton="0" quotePrefix="0" xfId="0"/>
    <xf numFmtId="167" fontId="0" fillId="0" borderId="0" pivotButton="0" quotePrefix="0" xfId="0"/>
    <xf numFmtId="0" fontId="17" fillId="0" borderId="0" pivotButton="0" quotePrefix="0" xfId="0"/>
    <xf numFmtId="0" fontId="18" fillId="0" borderId="0" pivotButton="0" quotePrefix="0" xfId="0"/>
    <xf numFmtId="0" fontId="9" fillId="5" borderId="1" applyAlignment="1" pivotButton="0" quotePrefix="0" xfId="0">
      <alignment vertical="top" wrapText="1"/>
    </xf>
    <xf numFmtId="168" fontId="0" fillId="0" borderId="0" pivotButton="0" quotePrefix="0" xfId="0"/>
    <xf numFmtId="0" fontId="20" fillId="0" borderId="0" pivotButton="0" quotePrefix="0" xfId="0"/>
    <xf numFmtId="16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>
      <c r="A1" s="1" t="inlineStr">
        <is>
          <t>The Long Hotel — 5-year Forecast</t>
        </is>
      </c>
      <c r="J1" s="2" t="inlineStr">
        <is>
          <t>Scenario lookup (do not edit)</t>
        </is>
      </c>
    </row>
    <row r="2">
      <c r="A2" s="3" t="inlineStr">
        <is>
          <t>All figures £. Scenario dropdown drives programme guest volumes and demand-flexed revenue lines.</t>
        </is>
      </c>
      <c r="J2" t="inlineStr">
        <is>
          <t>Scenario</t>
        </is>
      </c>
      <c r="K2" t="inlineStr">
        <is>
          <t>Y1 util</t>
        </is>
      </c>
      <c r="L2" t="inlineStr">
        <is>
          <t>Y2 util</t>
        </is>
      </c>
      <c r="M2" t="inlineStr">
        <is>
          <t>Y3 util</t>
        </is>
      </c>
      <c r="N2" t="inlineStr">
        <is>
          <t>Y4 util</t>
        </is>
      </c>
      <c r="O2" t="inlineStr">
        <is>
          <t>Y5 util</t>
        </is>
      </c>
      <c r="P2" t="inlineStr">
        <is>
          <t>Demand factor</t>
        </is>
      </c>
    </row>
    <row r="3">
      <c r="J3" t="inlineStr">
        <is>
          <t>Modelled</t>
        </is>
      </c>
      <c r="K3" s="4" t="n">
        <v>0.22</v>
      </c>
      <c r="L3" s="4" t="n">
        <v>0.36</v>
      </c>
      <c r="M3" s="4" t="n">
        <v>0.47</v>
      </c>
      <c r="N3" s="4" t="n">
        <v>0.55</v>
      </c>
      <c r="O3" s="4" t="n">
        <v>0.6</v>
      </c>
      <c r="P3" s="5" t="n">
        <v>1</v>
      </c>
    </row>
    <row r="4">
      <c r="A4" s="6" t="inlineStr">
        <is>
          <t>Scenario</t>
        </is>
      </c>
      <c r="B4" s="7" t="inlineStr">
        <is>
          <t>Modelled</t>
        </is>
      </c>
      <c r="J4" t="inlineStr">
        <is>
          <t>Pessimistic</t>
        </is>
      </c>
      <c r="K4" s="4" t="n">
        <v>0.12</v>
      </c>
      <c r="L4" s="4" t="n">
        <v>0.22</v>
      </c>
      <c r="M4" s="4" t="n">
        <v>0.32</v>
      </c>
      <c r="N4" s="4" t="n">
        <v>0.4</v>
      </c>
      <c r="O4" s="4" t="n">
        <v>0.48</v>
      </c>
      <c r="P4" s="5" t="n">
        <v>0.8</v>
      </c>
    </row>
    <row r="5">
      <c r="A5" s="8" t="inlineStr">
        <is>
          <t>Programme utilisation</t>
        </is>
      </c>
      <c r="B5" s="4">
        <f>VLOOKUP($B$4,$J$3:$P$6,2,FALSE)</f>
        <v/>
      </c>
      <c r="C5" s="4">
        <f>VLOOKUP($B$4,$J$3:$P$6,3,FALSE)</f>
        <v/>
      </c>
      <c r="D5" s="4">
        <f>VLOOKUP($B$4,$J$3:$P$6,4,FALSE)</f>
        <v/>
      </c>
      <c r="E5" s="4">
        <f>VLOOKUP($B$4,$J$3:$P$6,5,FALSE)</f>
        <v/>
      </c>
      <c r="F5" s="4">
        <f>VLOOKUP($B$4,$J$3:$P$6,6,FALSE)</f>
        <v/>
      </c>
      <c r="J5" t="inlineStr">
        <is>
          <t>Optimistic</t>
        </is>
      </c>
      <c r="K5" s="4" t="n">
        <v>0.38</v>
      </c>
      <c r="L5" s="4" t="n">
        <v>0.5</v>
      </c>
      <c r="M5" s="4" t="n">
        <v>0.6</v>
      </c>
      <c r="N5" s="4" t="n">
        <v>0.65</v>
      </c>
      <c r="O5" s="4" t="n">
        <v>0.68</v>
      </c>
      <c r="P5" s="5" t="n">
        <v>1.15</v>
      </c>
    </row>
    <row r="6">
      <c r="A6" s="9" t="inlineStr">
        <is>
          <t>Demand factor (Mem/Cryo/F&amp;B/Focus-only)</t>
        </is>
      </c>
      <c r="B6" s="5">
        <f>VLOOKUP($B$4,$J$3:$P$6,7,FALSE)</f>
        <v/>
      </c>
      <c r="J6" t="inlineStr">
        <is>
          <t>AI downturn</t>
        </is>
      </c>
      <c r="K6" s="4" t="n">
        <v>0.22</v>
      </c>
      <c r="L6" s="4" t="n">
        <v>0.3</v>
      </c>
      <c r="M6" s="4" t="n">
        <v>0.4</v>
      </c>
      <c r="N6" s="4" t="n">
        <v>0.47</v>
      </c>
      <c r="O6" s="4" t="n">
        <v>0.51</v>
      </c>
      <c r="P6" s="5" t="n">
        <v>0.7</v>
      </c>
    </row>
    <row r="7">
      <c r="A7" s="8" t="inlineStr">
        <is>
          <t>Programme guests</t>
        </is>
      </c>
      <c r="B7" s="10">
        <f>ROUND(B5*1352,0)</f>
        <v/>
      </c>
      <c r="C7" s="10">
        <f>ROUND(C5*1352,0)</f>
        <v/>
      </c>
      <c r="D7" s="10">
        <f>ROUND(D5*1352,0)</f>
        <v/>
      </c>
      <c r="E7" s="10">
        <f>ROUND(E5*1352,0)</f>
        <v/>
      </c>
      <c r="F7" s="10">
        <f>ROUND(F5*1352,0)</f>
        <v/>
      </c>
    </row>
    <row r="9">
      <c r="A9" s="11" t="inlineStr">
        <is>
          <t>P&amp;L line</t>
        </is>
      </c>
      <c r="B9" s="11" t="inlineStr">
        <is>
          <t>Year 1</t>
        </is>
      </c>
      <c r="C9" s="11" t="inlineStr">
        <is>
          <t>Year 2</t>
        </is>
      </c>
      <c r="D9" s="11" t="inlineStr">
        <is>
          <t>Year 3</t>
        </is>
      </c>
      <c r="E9" s="11" t="inlineStr">
        <is>
          <t>Year 4</t>
        </is>
      </c>
      <c r="F9" s="11" t="inlineStr">
        <is>
          <t>Year 5</t>
        </is>
      </c>
    </row>
    <row r="10">
      <c r="A10" s="12" t="inlineStr">
        <is>
          <t>REVENUE</t>
        </is>
      </c>
      <c r="B10" s="12" t="n"/>
      <c r="C10" s="12" t="n"/>
      <c r="D10" s="12" t="n"/>
      <c r="E10" s="12" t="n"/>
      <c r="F10" s="12" t="n"/>
    </row>
    <row r="11">
      <c r="A11" t="inlineStr">
        <is>
          <t>Programme fee revenue</t>
        </is>
      </c>
      <c r="B11" s="13">
        <f>B7*1848</f>
        <v/>
      </c>
      <c r="C11" s="13">
        <f>C7*1831</f>
        <v/>
      </c>
      <c r="D11" s="13">
        <f>D7*1925</f>
        <v/>
      </c>
      <c r="E11" s="13">
        <f>E7*1924</f>
        <v/>
      </c>
      <c r="F11" s="13">
        <f>F7*1888</f>
        <v/>
      </c>
    </row>
    <row r="12">
      <c r="A12" t="inlineStr">
        <is>
          <t>Programme accommodation uplift</t>
        </is>
      </c>
      <c r="B12" s="13">
        <f>B7*867</f>
        <v/>
      </c>
      <c r="C12" s="13">
        <f>C7*859</f>
        <v/>
      </c>
      <c r="D12" s="13">
        <f>D7*811</f>
        <v/>
      </c>
      <c r="E12" s="13">
        <f>E7*768</f>
        <v/>
      </c>
      <c r="F12" s="13">
        <f>F7*731</f>
        <v/>
      </c>
    </row>
    <row r="13">
      <c r="A13" t="inlineStr">
        <is>
          <t>Focus attach revenue (avg £1146/guest)</t>
        </is>
      </c>
      <c r="B13" s="13">
        <f>B7*1145.57</f>
        <v/>
      </c>
      <c r="C13" s="13">
        <f>C7*1145.57</f>
        <v/>
      </c>
      <c r="D13" s="13">
        <f>D7*1145.57</f>
        <v/>
      </c>
      <c r="E13" s="13">
        <f>E7*1145.57</f>
        <v/>
      </c>
      <c r="F13" s="13">
        <f>F7*1145.57</f>
        <v/>
      </c>
    </row>
    <row r="14">
      <c r="A14" t="inlineStr">
        <is>
          <t>Ayush Spa</t>
        </is>
      </c>
      <c r="B14" s="13" t="n">
        <v>887000</v>
      </c>
      <c r="C14" s="13" t="n">
        <v>1112000</v>
      </c>
      <c r="D14" s="13" t="n">
        <v>1337000</v>
      </c>
      <c r="E14" s="13" t="n">
        <v>1487000</v>
      </c>
      <c r="F14" s="13" t="n">
        <v>1607000</v>
      </c>
    </row>
    <row r="15">
      <c r="A15" t="inlineStr">
        <is>
          <t>Ahara restaurant</t>
        </is>
      </c>
      <c r="B15" s="13">
        <f>1050000*$B$6</f>
        <v/>
      </c>
      <c r="C15" s="13">
        <f>1200000*$B$6</f>
        <v/>
      </c>
      <c r="D15" s="13">
        <f>1400000*$B$6</f>
        <v/>
      </c>
      <c r="E15" s="13">
        <f>1600000*$B$6</f>
        <v/>
      </c>
      <c r="F15" s="13">
        <f>1750000*$B$6</f>
        <v/>
      </c>
    </row>
    <row r="16">
      <c r="A16" t="inlineStr">
        <is>
          <t>Lobby cafe</t>
        </is>
      </c>
      <c r="B16" s="13">
        <f>80000*$B$6</f>
        <v/>
      </c>
      <c r="C16" s="13">
        <f>130000*$B$6</f>
        <v/>
      </c>
      <c r="D16" s="13">
        <f>180000*$B$6</f>
        <v/>
      </c>
      <c r="E16" s="13">
        <f>220000*$B$6</f>
        <v/>
      </c>
      <c r="F16" s="13">
        <f>250000*$B$6</f>
        <v/>
      </c>
    </row>
    <row r="17">
      <c r="A17" t="inlineStr">
        <is>
          <t>Accom — legacy (OTA + tour op, exiting)</t>
        </is>
      </c>
      <c r="B17" s="13" t="n">
        <v>570000</v>
      </c>
      <c r="C17" s="13" t="n">
        <v>200000</v>
      </c>
      <c r="D17" s="13" t="n">
        <v>50000</v>
      </c>
      <c r="E17" s="13" t="n">
        <v>0</v>
      </c>
      <c r="F17" s="13" t="n">
        <v>0</v>
      </c>
    </row>
    <row r="18">
      <c r="A18" t="inlineStr">
        <is>
          <t>Accom — retained (corporate + FIT)</t>
        </is>
      </c>
      <c r="B18" s="13" t="n">
        <v>880000</v>
      </c>
      <c r="C18" s="13" t="n">
        <v>820000</v>
      </c>
      <c r="D18" s="13" t="n">
        <v>790000</v>
      </c>
      <c r="E18" s="13" t="n">
        <v>790000</v>
      </c>
      <c r="F18" s="13" t="n">
        <v>800000</v>
      </c>
    </row>
    <row r="19">
      <c r="A19" t="inlineStr">
        <is>
          <t>Accom — new market (57 suites)</t>
        </is>
      </c>
      <c r="B19" s="13" t="n">
        <v>186000</v>
      </c>
      <c r="C19" s="13" t="n">
        <v>881000</v>
      </c>
      <c r="D19" s="13" t="n">
        <v>1671000</v>
      </c>
      <c r="E19" s="13" t="n">
        <v>2180000</v>
      </c>
      <c r="F19" s="13" t="n">
        <v>2461000</v>
      </c>
    </row>
    <row r="20">
      <c r="A20" t="inlineStr">
        <is>
          <t>Accom — corporate long-stay (15 South Wing studios · £170 ADR)</t>
        </is>
      </c>
      <c r="B20" s="13" t="n">
        <v>372000</v>
      </c>
      <c r="C20" s="13" t="n">
        <v>512000</v>
      </c>
      <c r="D20" s="13" t="n">
        <v>605000</v>
      </c>
      <c r="E20" s="13" t="n">
        <v>652000</v>
      </c>
      <c r="F20" s="13" t="n">
        <v>698000</v>
      </c>
    </row>
    <row r="21">
      <c r="A21" t="inlineStr">
        <is>
          <t>Healthhaus rent</t>
        </is>
      </c>
      <c r="B21" s="13" t="n">
        <v>400000</v>
      </c>
      <c r="C21" s="13" t="n">
        <v>280000</v>
      </c>
      <c r="D21" s="13" t="n">
        <v>280000</v>
      </c>
      <c r="E21" s="13" t="n">
        <v>280000</v>
      </c>
      <c r="F21" s="13" t="n">
        <v>280000</v>
      </c>
    </row>
    <row r="22">
      <c r="A22" t="inlineStr">
        <is>
          <t>Other income (staff rent, misc.)</t>
        </is>
      </c>
      <c r="B22" s="13" t="n">
        <v>740000</v>
      </c>
      <c r="C22" s="13" t="n">
        <v>750000</v>
      </c>
      <c r="D22" s="13" t="n">
        <v>760000</v>
      </c>
      <c r="E22" s="13" t="n">
        <v>770000</v>
      </c>
      <c r="F22" s="13" t="n">
        <v>780000</v>
      </c>
    </row>
    <row r="23">
      <c r="A23" t="inlineStr">
        <is>
          <t>Focus-only stays</t>
        </is>
      </c>
      <c r="B23" s="13">
        <f>20*1200*$B$6</f>
        <v/>
      </c>
      <c r="C23" s="13">
        <f>40*1200*$B$6</f>
        <v/>
      </c>
      <c r="D23" s="13">
        <f>70*1200*$B$6</f>
        <v/>
      </c>
      <c r="E23" s="13">
        <f>110*1200*$B$6</f>
        <v/>
      </c>
      <c r="F23" s="13">
        <f>150*1200*$B$6</f>
        <v/>
      </c>
    </row>
    <row r="24">
      <c r="A24" t="inlineStr">
        <is>
          <t>Discount Membership revenue</t>
        </is>
      </c>
      <c r="B24" s="13">
        <f>30000*$B$6</f>
        <v/>
      </c>
      <c r="C24" s="13">
        <f>50000*$B$6</f>
        <v/>
      </c>
      <c r="D24" s="13">
        <f>80000*$B$6</f>
        <v/>
      </c>
      <c r="E24" s="13">
        <f>100000*$B$6</f>
        <v/>
      </c>
      <c r="F24" s="13">
        <f>120000*$B$6</f>
        <v/>
      </c>
    </row>
    <row r="25">
      <c r="A25" t="inlineStr">
        <is>
          <t>Cryotherapy revenue</t>
        </is>
      </c>
      <c r="B25" s="13">
        <f>15000*$B$6</f>
        <v/>
      </c>
      <c r="C25" s="13">
        <f>40000*$B$6</f>
        <v/>
      </c>
      <c r="D25" s="13">
        <f>70000*$B$6</f>
        <v/>
      </c>
      <c r="E25" s="13">
        <f>95000*$B$6</f>
        <v/>
      </c>
      <c r="F25" s="13">
        <f>112000*$B$6</f>
        <v/>
      </c>
    </row>
    <row r="26">
      <c r="A26" t="inlineStr">
        <is>
          <t>B2B corporate (The Long Boardroom)</t>
        </is>
      </c>
      <c r="B26" s="13" t="n">
        <v>0</v>
      </c>
      <c r="C26" s="13" t="n">
        <v>210000</v>
      </c>
      <c r="D26" s="13" t="n">
        <v>450000</v>
      </c>
      <c r="E26" s="13" t="n">
        <v>600000</v>
      </c>
      <c r="F26" s="13" t="n">
        <v>700000</v>
      </c>
    </row>
    <row r="27">
      <c r="A27" t="inlineStr">
        <is>
          <t>Expired voucher write-off</t>
        </is>
      </c>
      <c r="B27" s="13" t="n">
        <v>40000</v>
      </c>
      <c r="C27" s="13" t="n">
        <v>42000</v>
      </c>
      <c r="D27" s="13" t="n">
        <v>45000</v>
      </c>
      <c r="E27" s="13" t="n">
        <v>48000</v>
      </c>
      <c r="F27" s="13" t="n">
        <v>50000</v>
      </c>
    </row>
    <row r="28">
      <c r="A28" s="14" t="inlineStr">
        <is>
          <t>TOTAL REVENUE</t>
        </is>
      </c>
      <c r="B28" s="15">
        <f>SUM(B11:B27)</f>
        <v/>
      </c>
      <c r="C28" s="15">
        <f>SUM(C11:C27)</f>
        <v/>
      </c>
      <c r="D28" s="15">
        <f>SUM(D11:D27)</f>
        <v/>
      </c>
      <c r="E28" s="15">
        <f>SUM(E11:E27)</f>
        <v/>
      </c>
      <c r="F28" s="15">
        <f>SUM(F11:F27)</f>
        <v/>
      </c>
    </row>
    <row r="30">
      <c r="A30" s="12" t="inlineStr">
        <is>
          <t>DIRECT COSTS</t>
        </is>
      </c>
      <c r="B30" s="12" t="n"/>
      <c r="C30" s="12" t="n"/>
      <c r="D30" s="12" t="n"/>
      <c r="E30" s="12" t="n"/>
      <c r="F30" s="12" t="n"/>
    </row>
    <row r="31">
      <c r="A31" t="inlineStr">
        <is>
          <t>Programme direct delivery</t>
        </is>
      </c>
      <c r="B31" s="13">
        <f>B7*1007</f>
        <v/>
      </c>
      <c r="C31" s="13">
        <f>C7*897</f>
        <v/>
      </c>
      <c r="D31" s="13">
        <f>D7*858</f>
        <v/>
      </c>
      <c r="E31" s="13">
        <f>E7*729</f>
        <v/>
      </c>
      <c r="F31" s="13">
        <f>F7*656</f>
        <v/>
      </c>
    </row>
    <row r="32">
      <c r="A32" t="inlineStr">
        <is>
          <t>Focus programme cost (40% of focus rev)</t>
        </is>
      </c>
      <c r="B32" s="13">
        <f>B13*0.4</f>
        <v/>
      </c>
      <c r="C32" s="13">
        <f>C13*0.4</f>
        <v/>
      </c>
      <c r="D32" s="13">
        <f>D13*0.4</f>
        <v/>
      </c>
      <c r="E32" s="13">
        <f>E13*0.4</f>
        <v/>
      </c>
      <c r="F32" s="13">
        <f>F13*0.4</f>
        <v/>
      </c>
    </row>
    <row r="33">
      <c r="A33" t="inlineStr">
        <is>
          <t>F&amp;B COGS (30% of F&amp;B rev)</t>
        </is>
      </c>
      <c r="B33" s="13">
        <f>(B15+B16)*0.3</f>
        <v/>
      </c>
      <c r="C33" s="13">
        <f>(C15+C16)*0.3</f>
        <v/>
      </c>
      <c r="D33" s="13">
        <f>(D15+D16)*0.3</f>
        <v/>
      </c>
      <c r="E33" s="13">
        <f>(E15+E16)*0.3</f>
        <v/>
      </c>
      <c r="F33" s="13">
        <f>(F15+F16)*0.3</f>
        <v/>
      </c>
    </row>
    <row r="34">
      <c r="A34" t="inlineStr">
        <is>
          <t>Agency commission</t>
        </is>
      </c>
      <c r="B34" s="13" t="n">
        <v>90000</v>
      </c>
      <c r="C34" s="13" t="n">
        <v>70000</v>
      </c>
      <c r="D34" s="13" t="n">
        <v>50000</v>
      </c>
      <c r="E34" s="13" t="n">
        <v>40000</v>
      </c>
      <c r="F34" s="13" t="n">
        <v>30000</v>
      </c>
    </row>
    <row r="35">
      <c r="A35" t="inlineStr">
        <is>
          <t>Other cost of sales</t>
        </is>
      </c>
      <c r="B35" s="13" t="n">
        <v>40000</v>
      </c>
      <c r="C35" s="13" t="n">
        <v>42000</v>
      </c>
      <c r="D35" s="13" t="n">
        <v>45000</v>
      </c>
      <c r="E35" s="13" t="n">
        <v>48000</v>
      </c>
      <c r="F35" s="13" t="n">
        <v>50000</v>
      </c>
    </row>
    <row r="36">
      <c r="A36" t="inlineStr">
        <is>
          <t>Discount Membership cost</t>
        </is>
      </c>
      <c r="B36" s="13">
        <f>7000*$B$6</f>
        <v/>
      </c>
      <c r="C36" s="13">
        <f>11000*$B$6</f>
        <v/>
      </c>
      <c r="D36" s="13">
        <f>17000*$B$6</f>
        <v/>
      </c>
      <c r="E36" s="13">
        <f>22000*$B$6</f>
        <v/>
      </c>
      <c r="F36" s="13">
        <f>26000*$B$6</f>
        <v/>
      </c>
    </row>
    <row r="37">
      <c r="A37" t="inlineStr">
        <is>
          <t>Cryotherapy opex</t>
        </is>
      </c>
      <c r="B37" s="13">
        <f>12000.0+8000.0*$B$6</f>
        <v/>
      </c>
      <c r="C37" s="13">
        <f>13200.0+8800.0*$B$6</f>
        <v/>
      </c>
      <c r="D37" s="13">
        <f>15600.0+10400.0*$B$6</f>
        <v/>
      </c>
      <c r="E37" s="13">
        <f>18000.0+12000.0*$B$6</f>
        <v/>
      </c>
      <c r="F37" s="13">
        <f>19800.0+13200.0*$B$6</f>
        <v/>
      </c>
    </row>
    <row r="38">
      <c r="A38" t="inlineStr">
        <is>
          <t>B2B cost</t>
        </is>
      </c>
      <c r="B38" s="13" t="n">
        <v>30000</v>
      </c>
      <c r="C38" s="13" t="n">
        <v>107000</v>
      </c>
      <c r="D38" s="13" t="n">
        <v>154000</v>
      </c>
      <c r="E38" s="13" t="n">
        <v>190000</v>
      </c>
      <c r="F38" s="13" t="n">
        <v>210000</v>
      </c>
    </row>
    <row r="39">
      <c r="A39" s="14" t="inlineStr">
        <is>
          <t>TOTAL DIRECT COSTS</t>
        </is>
      </c>
      <c r="B39" s="15">
        <f>SUM(B31:B38)</f>
        <v/>
      </c>
      <c r="C39" s="15">
        <f>SUM(C31:C38)</f>
        <v/>
      </c>
      <c r="D39" s="15">
        <f>SUM(D31:D38)</f>
        <v/>
      </c>
      <c r="E39" s="15">
        <f>SUM(E31:E38)</f>
        <v/>
      </c>
      <c r="F39" s="15">
        <f>SUM(F31:F38)</f>
        <v/>
      </c>
    </row>
    <row r="41">
      <c r="A41" s="12" t="inlineStr">
        <is>
          <t>OVERHEADS</t>
        </is>
      </c>
      <c r="B41" s="12" t="n"/>
      <c r="C41" s="12" t="n"/>
      <c r="D41" s="12" t="n"/>
      <c r="E41" s="12" t="n"/>
      <c r="F41" s="12" t="n"/>
    </row>
    <row r="42">
      <c r="A42" t="inlineStr">
        <is>
          <t>Wages &amp; salaries</t>
        </is>
      </c>
      <c r="B42" s="13" t="n">
        <v>3400000</v>
      </c>
      <c r="C42" s="13" t="n">
        <v>4000000</v>
      </c>
      <c r="D42" s="13" t="n">
        <v>4300000</v>
      </c>
      <c r="E42" s="13" t="n">
        <v>4470000</v>
      </c>
      <c r="F42" s="13" t="n">
        <v>4470000</v>
      </c>
    </row>
    <row r="43">
      <c r="A43" t="inlineStr">
        <is>
          <t>Electricity</t>
        </is>
      </c>
      <c r="B43" s="13" t="n">
        <v>152000</v>
      </c>
      <c r="C43" s="13" t="n">
        <v>166000</v>
      </c>
      <c r="D43" s="13" t="n">
        <v>175000</v>
      </c>
      <c r="E43" s="13" t="n">
        <v>179000</v>
      </c>
      <c r="F43" s="13" t="n">
        <v>179000</v>
      </c>
    </row>
    <row r="44">
      <c r="A44" t="inlineStr">
        <is>
          <t>Other utilities (gas/oil/water)</t>
        </is>
      </c>
      <c r="B44" s="13" t="n">
        <v>228000</v>
      </c>
      <c r="C44" s="13" t="n">
        <v>229000</v>
      </c>
      <c r="D44" s="13" t="n">
        <v>230000</v>
      </c>
      <c r="E44" s="13" t="n">
        <v>231000</v>
      </c>
      <c r="F44" s="13" t="n">
        <v>230000</v>
      </c>
    </row>
    <row r="45">
      <c r="A45" t="inlineStr">
        <is>
          <t>Other operating opex</t>
        </is>
      </c>
      <c r="B45" s="13" t="n">
        <v>1205000</v>
      </c>
      <c r="C45" s="13" t="n">
        <v>1308000</v>
      </c>
      <c r="D45" s="13" t="n">
        <v>1408000</v>
      </c>
      <c r="E45" s="13" t="n">
        <v>1488000</v>
      </c>
      <c r="F45" s="13" t="n">
        <v>1548000</v>
      </c>
    </row>
    <row r="46">
      <c r="A46" t="inlineStr">
        <is>
          <t>Marketing</t>
        </is>
      </c>
      <c r="B46" s="13" t="n">
        <v>520000</v>
      </c>
      <c r="C46" s="13" t="n">
        <v>560000</v>
      </c>
      <c r="D46" s="13" t="n">
        <v>520000</v>
      </c>
      <c r="E46" s="13" t="n">
        <v>480000</v>
      </c>
      <c r="F46" s="13" t="n">
        <v>460000</v>
      </c>
    </row>
    <row r="47">
      <c r="A47" t="inlineStr">
        <is>
          <t>Content production</t>
        </is>
      </c>
      <c r="B47" s="13" t="n">
        <v>120000</v>
      </c>
      <c r="C47" s="13" t="n">
        <v>150000</v>
      </c>
      <c r="D47" s="13" t="n">
        <v>150000</v>
      </c>
      <c r="E47" s="13" t="n">
        <v>150000</v>
      </c>
      <c r="F47" s="13" t="n">
        <v>150000</v>
      </c>
    </row>
    <row r="48">
      <c r="A48" t="inlineStr">
        <is>
          <t>Y1 pre-launch + soft launch (one-off)</t>
        </is>
      </c>
      <c r="B48" s="13" t="n">
        <v>1000000</v>
      </c>
      <c r="C48" s="13" t="n">
        <v>0</v>
      </c>
      <c r="D48" s="13" t="n">
        <v>0</v>
      </c>
      <c r="E48" s="13" t="n">
        <v>0</v>
      </c>
      <c r="F48" s="13" t="n">
        <v>0</v>
      </c>
    </row>
    <row r="49">
      <c r="A49" s="14" t="inlineStr">
        <is>
          <t>TOTAL OVERHEADS</t>
        </is>
      </c>
      <c r="B49" s="15">
        <f>SUM(B42:B48)</f>
        <v/>
      </c>
      <c r="C49" s="15">
        <f>SUM(C42:C48)</f>
        <v/>
      </c>
      <c r="D49" s="15">
        <f>SUM(D42:D48)</f>
        <v/>
      </c>
      <c r="E49" s="15">
        <f>SUM(E42:E48)</f>
        <v/>
      </c>
      <c r="F49" s="15">
        <f>SUM(F42:F48)</f>
        <v/>
      </c>
    </row>
    <row r="51">
      <c r="A51" s="14" t="inlineStr">
        <is>
          <t>EBITDA</t>
        </is>
      </c>
      <c r="B51" s="16">
        <f>B28-B39-B49</f>
        <v/>
      </c>
      <c r="C51" s="16">
        <f>C28-C39-C49</f>
        <v/>
      </c>
      <c r="D51" s="16">
        <f>D28-D39-D49</f>
        <v/>
      </c>
      <c r="E51" s="16">
        <f>E28-E39-E49</f>
        <v/>
      </c>
      <c r="F51" s="16">
        <f>F28-F39-F49</f>
        <v/>
      </c>
    </row>
    <row r="53">
      <c r="A53" s="12" t="inlineStr">
        <is>
          <t>BELOW THE LINE</t>
        </is>
      </c>
      <c r="B53" s="12" t="n"/>
      <c r="C53" s="12" t="n"/>
      <c r="D53" s="12" t="n"/>
      <c r="E53" s="12" t="n"/>
      <c r="F53" s="12" t="n"/>
    </row>
    <row r="54">
      <c r="A54" t="inlineStr">
        <is>
          <t>Amortisation</t>
        </is>
      </c>
      <c r="B54" s="13" t="n">
        <v>519679</v>
      </c>
      <c r="C54" s="13" t="n">
        <v>523679</v>
      </c>
      <c r="D54" s="13" t="n">
        <v>523679</v>
      </c>
      <c r="E54" s="13" t="n">
        <v>538679</v>
      </c>
      <c r="F54" s="13" t="n">
        <v>534179</v>
      </c>
    </row>
    <row r="55">
      <c r="A55" t="inlineStr">
        <is>
          <t>Finance (new debt service)</t>
        </is>
      </c>
      <c r="B55" s="13" t="n">
        <v>75000</v>
      </c>
      <c r="C55" s="13" t="n">
        <v>290000</v>
      </c>
      <c r="D55" s="13" t="n">
        <v>420000</v>
      </c>
      <c r="E55" s="13" t="n">
        <v>420000</v>
      </c>
      <c r="F55" s="13" t="n">
        <v>400000</v>
      </c>
    </row>
    <row r="56">
      <c r="A56" t="inlineStr">
        <is>
          <t>Financial charges (banking + transaction fees, recurring)</t>
        </is>
      </c>
      <c r="B56" s="13" t="n">
        <v>85345</v>
      </c>
      <c r="C56" s="13" t="n">
        <v>85345</v>
      </c>
      <c r="D56" s="13" t="n">
        <v>85345</v>
      </c>
      <c r="E56" s="13" t="n">
        <v>85345</v>
      </c>
      <c r="F56" s="13" t="n">
        <v>85345</v>
      </c>
    </row>
    <row r="57">
      <c r="A57" s="14" t="inlineStr">
        <is>
          <t>PROFIT BEFORE TAX (PBT)</t>
        </is>
      </c>
      <c r="B57" s="16">
        <f>B51-SUM(B54:B56)</f>
        <v/>
      </c>
      <c r="C57" s="16">
        <f>C51-SUM(C54:C56)</f>
        <v/>
      </c>
      <c r="D57" s="16">
        <f>D51-SUM(D54:D56)</f>
        <v/>
      </c>
      <c r="E57" s="16">
        <f>E51-SUM(E54:E56)</f>
        <v/>
      </c>
      <c r="F57" s="16">
        <f>F51-SUM(F54:F56)</f>
        <v/>
      </c>
    </row>
    <row r="59">
      <c r="A59" s="9" t="inlineStr">
        <is>
          <t>Note: Jersey hospitality trading is taxed at 0%, so PBT ≈ PAT.</t>
        </is>
      </c>
    </row>
  </sheetData>
  <mergeCells count="3">
    <mergeCell ref="A2:F2"/>
    <mergeCell ref="A1:F1"/>
    <mergeCell ref="A59:F59"/>
  </mergeCells>
  <dataValidations count="1">
    <dataValidation sqref="B4" showDropDown="0" showInputMessage="0" showErrorMessage="0" allowBlank="0" errorTitle="Invalid scenario" error="Choose from Modelled / Pessimistic / Optimistic / AI downturn" type="list">
      <formula1>"Modelled,Pessimistic,Optimistic,AI downturn"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4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55" customWidth="1" min="3" max="3"/>
  </cols>
  <sheetData>
    <row r="1">
      <c r="A1" s="1" t="inlineStr">
        <is>
          <t>Hotel de France — FY2025 Actuals</t>
        </is>
      </c>
    </row>
    <row r="2">
      <c r="A2" s="3" t="inlineStr">
        <is>
          <t>Source: Ryan (email, aggregate-code breakdown of FY2025 management accounts). All figures £.</t>
        </is>
      </c>
    </row>
    <row r="4">
      <c r="A4" s="12" t="inlineStr">
        <is>
          <t>FOOD &amp; BEVERAGE</t>
        </is>
      </c>
      <c r="B4" s="12" t="n"/>
      <c r="C4" s="12" t="n"/>
    </row>
    <row r="5">
      <c r="A5" t="inlineStr">
        <is>
          <t>Beverage — Bar</t>
        </is>
      </c>
      <c r="B5" s="13" t="n">
        <v>255013</v>
      </c>
    </row>
    <row r="6">
      <c r="A6" t="inlineStr">
        <is>
          <t>Beverage — Function</t>
        </is>
      </c>
      <c r="B6" s="13" t="n">
        <v>13165</v>
      </c>
    </row>
    <row r="7">
      <c r="A7" s="8" t="inlineStr">
        <is>
          <t>Beverage total</t>
        </is>
      </c>
      <c r="B7" s="17">
        <f>SUM(B5:B6)</f>
        <v/>
      </c>
      <c r="C7" s="18" t="inlineStr">
        <is>
          <t>Ryan: £268,178 total beverage</t>
        </is>
      </c>
    </row>
    <row r="9">
      <c r="A9" t="inlineStr">
        <is>
          <t>Food — Restaurant</t>
        </is>
      </c>
      <c r="B9" s="13" t="n">
        <v>470954</v>
      </c>
    </row>
    <row r="10">
      <c r="A10" t="inlineStr">
        <is>
          <t>Food — Inclusive Breakfast (B&amp;B)</t>
        </is>
      </c>
      <c r="B10" s="13" t="n">
        <v>442357</v>
      </c>
      <c r="C10" s="18" t="inlineStr">
        <is>
          <t>46% of food revenue — sits inside the B&amp;B accommodation structure and disappears when accommodation is repriced à la carte</t>
        </is>
      </c>
    </row>
    <row r="11">
      <c r="A11" t="inlineStr">
        <is>
          <t>Food — Half-board Groups</t>
        </is>
      </c>
      <c r="B11" s="13" t="n">
        <v>26532</v>
      </c>
    </row>
    <row r="12">
      <c r="A12" t="inlineStr">
        <is>
          <t>Food — Function</t>
        </is>
      </c>
      <c r="B12" s="13" t="n">
        <v>20412</v>
      </c>
    </row>
    <row r="13">
      <c r="A13" s="8" t="inlineStr">
        <is>
          <t>Food total</t>
        </is>
      </c>
      <c r="B13" s="17">
        <f>SUM(B9:B12)</f>
        <v/>
      </c>
      <c r="C13" s="18" t="inlineStr">
        <is>
          <t>Ryan: £960,255 total food</t>
        </is>
      </c>
    </row>
    <row r="15">
      <c r="A15" s="8" t="inlineStr">
        <is>
          <t>F&amp;B GRAND TOTAL</t>
        </is>
      </c>
      <c r="B15" s="17">
        <f>B7+B13</f>
        <v/>
      </c>
    </row>
    <row r="17">
      <c r="A17" s="12" t="inlineStr">
        <is>
          <t>SUNDRY SALES (£901,667 aggregate)</t>
        </is>
      </c>
      <c r="B17" s="12" t="n"/>
      <c r="C17" s="12" t="n"/>
    </row>
    <row r="18">
      <c r="A18" t="inlineStr">
        <is>
          <t>Spa treatments (Ayush)</t>
        </is>
      </c>
      <c r="B18" s="13" t="n">
        <v>886804</v>
      </c>
      <c r="C18" s="18" t="inlineStr">
        <is>
          <t>Anchors the £887k Y1 Ayush baseline used in the Forecast tab</t>
        </is>
      </c>
    </row>
    <row r="19">
      <c r="A19" t="inlineStr">
        <is>
          <t>20% Service Charge Admin Fee</t>
        </is>
      </c>
      <c r="B19" s="13" t="n">
        <v>10392</v>
      </c>
    </row>
    <row r="20">
      <c r="A20" t="inlineStr">
        <is>
          <t>Tray Charge (room service)</t>
        </is>
      </c>
      <c r="B20" s="13" t="n">
        <v>4190</v>
      </c>
    </row>
    <row r="21">
      <c r="A21" t="inlineStr">
        <is>
          <t>Reception Sundry</t>
        </is>
      </c>
      <c r="B21" s="13" t="n">
        <v>281</v>
      </c>
    </row>
    <row r="22">
      <c r="A22" s="14" t="inlineStr">
        <is>
          <t>Sundry sales total</t>
        </is>
      </c>
      <c r="B22" s="15">
        <f>SUM(B18:B21)</f>
        <v/>
      </c>
      <c r="C22" s="14" t="n"/>
    </row>
    <row r="23">
      <c r="A23" s="12" t="inlineStr">
        <is>
          <t>MISC SALES (£743,405 aggregate)</t>
        </is>
      </c>
      <c r="B23" s="12" t="n"/>
      <c r="C23" s="12" t="n"/>
    </row>
    <row r="24">
      <c r="A24" t="inlineStr">
        <is>
          <t>Healthhaus cross-charge (pool + facility usage)</t>
        </is>
      </c>
      <c r="B24" s="13" t="n">
        <v>694849</v>
      </c>
      <c r="C24" s="18" t="inlineStr">
        <is>
          <t>Not a rental agreement; recurring commercial cross-charge. Post-restructure: HdF Group receives property rent; The Long Hotel receives capped amount for HH members using spa/facilities (modelled at £280k in Y2+ Forecast)</t>
        </is>
      </c>
    </row>
    <row r="25">
      <c r="A25" t="inlineStr">
        <is>
          <t>Expired vouchers written off</t>
        </is>
      </c>
      <c r="B25" s="13" t="n">
        <v>35201</v>
      </c>
      <c r="C25" s="18" t="inlineStr">
        <is>
          <t>£46,738 expired in 2025 will be written off in 2026 (indicative). Historically 7.5-12.5% of ~£415k/yr voucher sales</t>
        </is>
      </c>
    </row>
    <row r="26">
      <c r="A26" t="inlineStr">
        <is>
          <t>Admin fee for Healthhaus cross-charges</t>
        </is>
      </c>
      <c r="B26" s="13" t="n">
        <v>6648</v>
      </c>
    </row>
    <row r="27">
      <c r="A27" t="inlineStr">
        <is>
          <t>Staff wash tokens</t>
        </is>
      </c>
      <c r="B27" s="13" t="n">
        <v>4241</v>
      </c>
    </row>
    <row r="28">
      <c r="A28" t="inlineStr">
        <is>
          <t>Coffee bar</t>
        </is>
      </c>
      <c r="B28" s="13" t="n">
        <v>2246</v>
      </c>
    </row>
    <row r="29">
      <c r="A29" t="inlineStr">
        <is>
          <t>Staff WiFi charges</t>
        </is>
      </c>
      <c r="B29" s="13" t="n">
        <v>220</v>
      </c>
    </row>
    <row r="30">
      <c r="A30" s="14" t="inlineStr">
        <is>
          <t>Misc sales total</t>
        </is>
      </c>
      <c r="B30" s="15">
        <f>SUM(B24:B29)</f>
        <v/>
      </c>
      <c r="C30" s="14" t="n"/>
    </row>
    <row r="31">
      <c r="A31" s="12" t="inlineStr">
        <is>
          <t>ROOM HIRE + OTHER</t>
        </is>
      </c>
      <c r="B31" s="12" t="n"/>
      <c r="C31" s="12" t="n"/>
    </row>
    <row r="32">
      <c r="A32" t="inlineStr">
        <is>
          <t>Room hire</t>
        </is>
      </c>
      <c r="B32" s="13" t="n">
        <v>10710</v>
      </c>
    </row>
    <row r="33">
      <c r="A33" t="inlineStr">
        <is>
          <t>Other</t>
        </is>
      </c>
      <c r="B33" s="13" t="n">
        <v>2077</v>
      </c>
    </row>
    <row r="35">
      <c r="A35" s="12" t="inlineStr">
        <is>
          <t>COST OF SALES (£628,927 total)</t>
        </is>
      </c>
      <c r="B35" s="12" t="n"/>
      <c r="C35" s="12" t="n"/>
    </row>
    <row r="36">
      <c r="A36" t="inlineStr">
        <is>
          <t>Food COGS</t>
        </is>
      </c>
      <c r="B36" s="13" t="n">
        <v>299977</v>
      </c>
      <c r="C36" s="18" t="inlineStr">
        <is>
          <t>31.2% of food revenue (£960k) — well within hotel-restaurant benchmark</t>
        </is>
      </c>
    </row>
    <row r="37">
      <c r="A37" t="inlineStr">
        <is>
          <t>Beverage COGS</t>
        </is>
      </c>
      <c r="B37" s="13" t="n">
        <v>65222</v>
      </c>
      <c r="C37" s="18" t="inlineStr">
        <is>
          <t>24.3% of beverage revenue (£268k)</t>
        </is>
      </c>
    </row>
    <row r="38">
      <c r="A38" t="inlineStr">
        <is>
          <t>Travel agency commission</t>
        </is>
      </c>
      <c r="B38" s="13" t="n">
        <v>227047</v>
      </c>
      <c r="C38" s="18" t="inlineStr">
        <is>
          <t>2nd largest COS line — reduces materially as OTA channel is exited post-repositioning (falls to £30k by Y5 in Forecast)</t>
        </is>
      </c>
    </row>
    <row r="39">
      <c r="A39" s="14" t="inlineStr">
        <is>
          <t>Cost of sales total</t>
        </is>
      </c>
      <c r="B39" s="15">
        <f>SUM(B36:B38)</f>
        <v/>
      </c>
      <c r="C39" s="14" t="n"/>
    </row>
    <row r="41">
      <c r="A41" s="12" t="inlineStr">
        <is>
          <t>NON-OPERATING INCOME (£444,997 misc + £258,540 staff rent)</t>
        </is>
      </c>
      <c r="B41" s="12" t="n"/>
      <c r="C41" s="12" t="n"/>
    </row>
    <row r="42">
      <c r="A42" t="inlineStr">
        <is>
          <t>Lido management fee</t>
        </is>
      </c>
      <c r="B42" s="13" t="n">
        <v>243471</v>
      </c>
      <c r="C42" s="18" t="inlineStr">
        <is>
          <t>20% of gross Lido rental income; recurring per HMRC-agreed related-party structure. Lido gross rental sits in a different entity (already discounted from HDF figures)</t>
        </is>
      </c>
    </row>
    <row r="43">
      <c r="A43" t="inlineStr">
        <is>
          <t>Rental — Bonita hairdressers</t>
        </is>
      </c>
      <c r="B43" s="13" t="n">
        <v>35126</v>
      </c>
      <c r="C43" s="18" t="inlineStr">
        <is>
          <t>Recurring. 9-yr lease from March 2019, expires Feb 2028. Reviewed every 3 yrs (last March 2025). FY2026 £36,830</t>
        </is>
      </c>
    </row>
    <row r="44">
      <c r="A44" t="inlineStr">
        <is>
          <t>Rental — Dynamic Health</t>
        </is>
      </c>
      <c r="B44" s="13" t="n">
        <v>17646</v>
      </c>
      <c r="C44" s="18" t="inlineStr">
        <is>
          <t>NON-RECURRING. 1-yr lease from Sep 2025, expires Aug 2026 (looking to extend +3 months). FY2026 £30,250</t>
        </is>
      </c>
    </row>
    <row r="45">
      <c r="A45" t="inlineStr">
        <is>
          <t>Rental — MacMillan Cancer</t>
        </is>
      </c>
      <c r="B45" s="13" t="n">
        <v>7906</v>
      </c>
      <c r="C45" s="18" t="inlineStr">
        <is>
          <t>NON-RECURRING. 2-yr lease from Dec 2025, expires Dec 2027. FY2026 £30,250</t>
        </is>
      </c>
    </row>
    <row r="46">
      <c r="A46" t="inlineStr">
        <is>
          <t>Rental — JT phone mast</t>
        </is>
      </c>
      <c r="B46" s="13" t="n">
        <v>6660</v>
      </c>
      <c r="C46" s="18" t="inlineStr">
        <is>
          <t>Recurring</t>
        </is>
      </c>
    </row>
    <row r="47">
      <c r="A47" t="inlineStr">
        <is>
          <t>Rental — Westview apartments</t>
        </is>
      </c>
      <c r="B47" s="13" t="n">
        <v>82610</v>
      </c>
      <c r="C47" s="18" t="inlineStr">
        <is>
          <t>Recurring. Potential ~£95k if all apartments let 12 months</t>
        </is>
      </c>
    </row>
    <row r="48">
      <c r="A48" t="inlineStr">
        <is>
          <t>Interest on Healthhaus loan</t>
        </is>
      </c>
      <c r="B48" s="13" t="n">
        <v>41686</v>
      </c>
      <c r="C48" s="18" t="inlineStr">
        <is>
          <t>Recurring. 6.5% on ~£740k balance; not charged before 60 days of the underlying charge</t>
        </is>
      </c>
    </row>
    <row r="49">
      <c r="A49" t="inlineStr">
        <is>
          <t>Car park (Westview secure)</t>
        </is>
      </c>
      <c r="B49" s="13" t="n">
        <v>8491</v>
      </c>
      <c r="C49" s="18" t="inlineStr">
        <is>
          <t>Recurring. Scope to expand to whole property</t>
        </is>
      </c>
    </row>
    <row r="50">
      <c r="A50" t="inlineStr">
        <is>
          <t>Other</t>
        </is>
      </c>
      <c r="B50" s="13" t="n">
        <v>1401</v>
      </c>
    </row>
    <row r="51">
      <c r="A51" s="8" t="inlineStr">
        <is>
          <t>Non-op receipts total (per Ryan)</t>
        </is>
      </c>
      <c r="B51" s="17" t="n">
        <v>444997</v>
      </c>
    </row>
    <row r="53">
      <c r="A53" t="inlineStr">
        <is>
          <t>Staff rent received</t>
        </is>
      </c>
      <c r="B53" s="13" t="n">
        <v>258540</v>
      </c>
      <c r="C53" s="18" t="inlineStr">
        <is>
          <t>Trading income for tax purposes. Sits in "otherIncome" £740k Y1 line in Forecast</t>
        </is>
      </c>
    </row>
    <row r="56">
      <c r="A56" s="12" t="inlineStr">
        <is>
          <t>RECONCILIATION vs. Forecast Y1 assumptions</t>
        </is>
      </c>
      <c r="B56" s="12" t="n"/>
      <c r="C56" s="12" t="n"/>
    </row>
    <row r="57" ht="30" customHeight="1">
      <c r="A57" s="19" t="inlineStr">
        <is>
          <t>Ayush spa (FY2025 actual vs. Forecast Y1)</t>
        </is>
      </c>
      <c r="B57" s="13" t="n">
        <v>886804</v>
      </c>
      <c r="C57" s="18" t="inlineStr">
        <is>
          <t>Forecast Y1 updated £500k → £887,000 to reflect actual baseline</t>
        </is>
      </c>
    </row>
    <row r="58" ht="30" customHeight="1">
      <c r="A58" s="19" t="inlineStr">
        <is>
          <t>Healthhaus cross-charge (FY2025 vs. Y2+ Forecast)</t>
        </is>
      </c>
      <c r="B58" s="13" t="n">
        <v>694849</v>
      </c>
      <c r="C58" s="18" t="inlineStr">
        <is>
          <t>Post-restructure: rent goes to HdF Group; The Long Hotel receives £280k for member spa/facility usage only (per Grace)</t>
        </is>
      </c>
    </row>
    <row r="59" ht="30" customHeight="1">
      <c r="A59" s="19" t="inlineStr">
        <is>
          <t>F&amp;B revenue (FY2025 actual)</t>
        </is>
      </c>
      <c r="B59" s="13" t="n">
        <v>1228433</v>
      </c>
      <c r="C59" s="18" t="inlineStr">
        <is>
          <t>Ahara + Lobby Cafe modelled at £1,130k Y1 rising to £2,000k Y5 (Ahara replaces Restaurant + Breakfast structure)</t>
        </is>
      </c>
    </row>
    <row r="60" ht="30" customHeight="1">
      <c r="A60" s="19" t="inlineStr">
        <is>
          <t>F&amp;B COGS ratio (FY2025 actual blended)</t>
        </is>
      </c>
      <c r="B60" t="inlineStr">
        <is>
          <t>(ratio)</t>
        </is>
      </c>
      <c r="C60" s="18" t="inlineStr">
        <is>
          <t>Food 31.2% + Beverage 24.3% = 29.7% blended. Forecast uses 30% flat.</t>
        </is>
      </c>
    </row>
    <row r="61" ht="30" customHeight="1">
      <c r="A61" s="19" t="inlineStr">
        <is>
          <t>Voucher write-off (FY2025 actual)</t>
        </is>
      </c>
      <c r="B61" s="13" t="n">
        <v>35201</v>
      </c>
      <c r="C61" s="18" t="inlineStr">
        <is>
          <t>Added recurring £40-50k/yr line to Forecast</t>
        </is>
      </c>
    </row>
    <row r="64">
      <c r="A64" s="12" t="inlineStr">
        <is>
          <t>GIFT VOUCHER BALANCE STATEMENT</t>
        </is>
      </c>
      <c r="B64" s="12" t="n"/>
      <c r="C64" s="12" t="n"/>
    </row>
    <row r="65">
      <c r="A65" s="11" t="inlineStr">
        <is>
          <t>Line</t>
        </is>
      </c>
      <c r="B65" s="11" t="inlineStr">
        <is>
          <t>2025</t>
        </is>
      </c>
      <c r="C65" s="11" t="inlineStr">
        <is>
          <t>2024</t>
        </is>
      </c>
    </row>
    <row r="66">
      <c r="A66" s="14" t="inlineStr">
        <is>
          <t>Opening balance</t>
        </is>
      </c>
      <c r="B66" s="20" t="n">
        <v>285963.11</v>
      </c>
      <c r="C66" s="20" t="n">
        <v>151366</v>
      </c>
    </row>
    <row r="67">
      <c r="A67" t="inlineStr">
        <is>
          <t>Vouchers sold</t>
        </is>
      </c>
      <c r="B67" s="21" t="n">
        <v>414868</v>
      </c>
      <c r="C67" s="21" t="n">
        <v>421414</v>
      </c>
    </row>
    <row r="68">
      <c r="A68" t="inlineStr">
        <is>
          <t>Redeemed</t>
        </is>
      </c>
      <c r="B68" s="21" t="n">
        <v>-311016.45</v>
      </c>
      <c r="C68" s="21" t="n">
        <v>-211669.32</v>
      </c>
    </row>
    <row r="69">
      <c r="A69" t="inlineStr">
        <is>
          <t>Part redeemed</t>
        </is>
      </c>
      <c r="B69" s="21" t="n">
        <v>-61207.29</v>
      </c>
      <c r="C69" s="21" t="n">
        <v>-51117.13</v>
      </c>
    </row>
    <row r="70">
      <c r="A70" t="inlineStr">
        <is>
          <t>Expired</t>
        </is>
      </c>
      <c r="B70" s="21" t="n">
        <v>-46737.85</v>
      </c>
      <c r="C70" s="21" t="n">
        <v>-17736.98</v>
      </c>
    </row>
    <row r="71">
      <c r="A71" t="inlineStr">
        <is>
          <t>Voided</t>
        </is>
      </c>
      <c r="B71" s="21" t="n">
        <v>-2488</v>
      </c>
      <c r="C71" s="21" t="n">
        <v>-2590</v>
      </c>
    </row>
    <row r="72">
      <c r="A72" s="14" t="inlineStr">
        <is>
          <t>Closing balance</t>
        </is>
      </c>
      <c r="B72" s="20" t="n">
        <v>281012.75</v>
      </c>
      <c r="C72" s="20" t="n">
        <v>285963.11</v>
      </c>
    </row>
    <row r="74" ht="45" customHeight="1">
      <c r="A74" s="22" t="inlineStr">
        <is>
          <t>Note: Vouchers sell at consistently ~£415k/yr. 12-month redemption period; balances retained ~12 months post-expiry, then written off (discretionary timing, typically Nov-Feb low season). Historical write-off rate: 7.5-12.5% of sales.</t>
        </is>
      </c>
    </row>
  </sheetData>
  <mergeCells count="3">
    <mergeCell ref="A1:C1"/>
    <mergeCell ref="A2:C2"/>
    <mergeCell ref="A74:C7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5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</cols>
  <sheetData>
    <row r="1">
      <c r="A1" s="23" t="inlineStr">
        <is>
          <t>The Long Weekend</t>
        </is>
      </c>
    </row>
    <row r="2">
      <c r="A2" s="24" t="inlineStr">
        <is>
          <t>2.5 nights</t>
        </is>
      </c>
    </row>
    <row r="4">
      <c r="A4" s="8" t="inlineStr">
        <is>
          <t>Programme fee (guest pays)</t>
        </is>
      </c>
      <c r="B4" s="25" t="n">
        <v>800</v>
      </c>
    </row>
    <row r="6">
      <c r="A6" s="12" t="inlineStr">
        <is>
          <t>PASS-THROUGH (Medilab / third-party)</t>
        </is>
      </c>
      <c r="B6" s="12" t="n"/>
      <c r="C6" s="12" t="n"/>
    </row>
    <row r="7">
      <c r="A7" t="inlineStr">
        <is>
          <t>Nidana Tier 1 Essential Panel (Medilab)</t>
        </is>
      </c>
      <c r="B7" s="13" t="n">
        <v>105</v>
      </c>
    </row>
    <row r="8">
      <c r="A8" s="14" t="inlineStr">
        <is>
          <t>Pass-through total</t>
        </is>
      </c>
      <c r="B8" s="15">
        <f>SUM(B7:B7)</f>
        <v/>
      </c>
    </row>
    <row r="10">
      <c r="A10" s="12" t="inlineStr">
        <is>
          <t>HOTEL DELIVERY (clinician time + materials)</t>
        </is>
      </c>
      <c r="B10" s="12" t="n"/>
      <c r="C10" s="12" t="n"/>
    </row>
    <row r="11">
      <c r="A11" t="inlineStr">
        <is>
          <t>Naya Mati GP consultation (30min)</t>
        </is>
      </c>
      <c r="B11" s="13" t="n">
        <v>45</v>
      </c>
    </row>
    <row r="12">
      <c r="A12" t="inlineStr">
        <is>
          <t>Prakriti Mati Ayurvedic (45min)</t>
        </is>
      </c>
      <c r="B12" s="13" t="n">
        <v>50</v>
      </c>
    </row>
    <row r="13">
      <c r="A13" t="inlineStr">
        <is>
          <t>Pathya Mati dietitian (30min)</t>
        </is>
      </c>
      <c r="B13" s="13" t="n">
        <v>25</v>
      </c>
    </row>
    <row r="14">
      <c r="A14" t="inlineStr">
        <is>
          <t>Deha DEXA scan</t>
        </is>
      </c>
      <c r="B14" s="13" t="n">
        <v>50</v>
      </c>
    </row>
    <row r="15">
      <c r="A15" t="inlineStr">
        <is>
          <t>Kaya assessment (FMS+grip+1 Bala)</t>
        </is>
      </c>
      <c r="B15" s="13" t="n">
        <v>50</v>
      </c>
    </row>
    <row r="16">
      <c r="A16" t="inlineStr">
        <is>
          <t>Nidra Orion tracking + Terra report</t>
        </is>
      </c>
      <c r="B16" s="13" t="n">
        <v>15</v>
      </c>
    </row>
    <row r="17">
      <c r="A17" t="inlineStr">
        <is>
          <t>Hima 1–2 cryo sessions</t>
        </is>
      </c>
      <c r="B17" s="13" t="n">
        <v>15</v>
      </c>
    </row>
    <row r="18">
      <c r="A18" t="inlineStr">
        <is>
          <t>Prana group session</t>
        </is>
      </c>
      <c r="B18" s="13" t="n">
        <v>5</v>
      </c>
    </row>
    <row r="19">
      <c r="A19" t="inlineStr">
        <is>
          <t>Health coaching 60min</t>
        </is>
      </c>
      <c r="B19" s="13" t="n">
        <v>30</v>
      </c>
    </row>
    <row r="20">
      <c r="A20" t="inlineStr">
        <is>
          <t>Written 2-week protocol</t>
        </is>
      </c>
      <c r="B20" s="13" t="n">
        <v>10</v>
      </c>
    </row>
    <row r="21">
      <c r="A21" t="inlineStr">
        <is>
          <t>Two post-stay video check-ins</t>
        </is>
      </c>
      <c r="B21" s="13" t="n">
        <v>15</v>
      </c>
    </row>
    <row r="22">
      <c r="A22" t="inlineStr">
        <is>
          <t>Long Walk (guide + transport)</t>
        </is>
      </c>
      <c r="B22" s="13" t="n">
        <v>15</v>
      </c>
    </row>
    <row r="23">
      <c r="A23" s="14" t="inlineStr">
        <is>
          <t>Hotel delivery total</t>
        </is>
      </c>
      <c r="B23" s="15">
        <f>SUM(B11:B22)</f>
        <v/>
      </c>
    </row>
    <row r="25">
      <c r="A25" s="8" t="inlineStr">
        <is>
          <t>Total delivery cost</t>
        </is>
      </c>
      <c r="B25" s="15">
        <f>B8+B23</f>
        <v/>
      </c>
    </row>
    <row r="26">
      <c r="A26" s="26" t="inlineStr">
        <is>
          <t>Net to hotel (fee − pass-through)</t>
        </is>
      </c>
      <c r="B26" s="13">
        <f>B4-B8</f>
        <v/>
      </c>
    </row>
    <row r="27">
      <c r="A27" s="27" t="inlineStr">
        <is>
          <t>Contribution to hotel</t>
        </is>
      </c>
      <c r="B27" s="16">
        <f>B26-B23</f>
        <v/>
      </c>
    </row>
    <row r="28">
      <c r="A28" t="inlineStr">
        <is>
          <t>Margin on net-to-hotel</t>
        </is>
      </c>
      <c r="B28" s="28">
        <f>B27/B26</f>
        <v/>
      </c>
    </row>
    <row r="30">
      <c r="A30" s="12" t="inlineStr">
        <is>
          <t>GUEST ALL-IN PRICING</t>
        </is>
      </c>
      <c r="B30" s="12" t="n"/>
      <c r="C30" s="12" t="n"/>
    </row>
    <row r="31">
      <c r="A31" t="inlineStr">
        <is>
          <t>Programme fee</t>
        </is>
      </c>
      <c r="B31" s="13" t="n">
        <v>800</v>
      </c>
    </row>
    <row r="32">
      <c r="A32" t="inlineStr">
        <is>
          <t>Room (low → high)</t>
        </is>
      </c>
      <c r="B32" s="13" t="n">
        <v>550</v>
      </c>
      <c r="C32" s="13" t="n">
        <v>1288</v>
      </c>
    </row>
    <row r="33">
      <c r="A33" t="inlineStr">
        <is>
          <t>Food</t>
        </is>
      </c>
      <c r="B33" s="13" t="n">
        <v>225</v>
      </c>
    </row>
    <row r="34">
      <c r="A34" s="8" t="inlineStr">
        <is>
          <t>Guest all-in (low → high)</t>
        </is>
      </c>
      <c r="B34" s="17" t="n">
        <v>1575</v>
      </c>
      <c r="C34" s="17" t="n">
        <v>2313</v>
      </c>
    </row>
    <row r="36">
      <c r="A36" s="12" t="inlineStr">
        <is>
          <t>ITINERARY</t>
        </is>
      </c>
      <c r="B36" s="12" t="n"/>
      <c r="C36" s="12" t="n"/>
    </row>
    <row r="37">
      <c r="A37" s="8" t="inlineStr">
        <is>
          <t>Fri afternoon</t>
        </is>
      </c>
      <c r="B37" t="inlineStr">
        <is>
          <t>Arrival, Orion setup, night 1</t>
        </is>
      </c>
    </row>
    <row r="38">
      <c r="A38" s="8" t="inlineStr">
        <is>
          <t>Sat morning</t>
        </is>
      </c>
      <c r="B38" t="inlineStr">
        <is>
          <t>Prakriti Mati consultation</t>
        </is>
      </c>
    </row>
    <row r="39">
      <c r="A39" s="8" t="inlineStr">
        <is>
          <t>Sat late morning</t>
        </is>
      </c>
      <c r="B39" t="inlineStr">
        <is>
          <t>DEXA scan</t>
        </is>
      </c>
    </row>
    <row r="40">
      <c r="A40" s="8" t="inlineStr">
        <is>
          <t>Sat afternoon</t>
        </is>
      </c>
      <c r="B40" t="inlineStr">
        <is>
          <t>Spa or Ayurvedic treatment</t>
        </is>
      </c>
    </row>
    <row r="41">
      <c r="A41" s="8" t="inlineStr">
        <is>
          <t>Sat late afternoon</t>
        </is>
      </c>
      <c r="B41" t="inlineStr">
        <is>
          <t>Long Walk</t>
        </is>
      </c>
    </row>
    <row r="42">
      <c r="A42" s="8" t="inlineStr">
        <is>
          <t>Sat evening</t>
        </is>
      </c>
      <c r="B42" t="inlineStr">
        <is>
          <t>Dinner + optional session</t>
        </is>
      </c>
    </row>
    <row r="43">
      <c r="A43" s="8" t="inlineStr">
        <is>
          <t>Sun morning</t>
        </is>
      </c>
      <c r="B43" t="inlineStr">
        <is>
          <t>Optional shirodhara</t>
        </is>
      </c>
    </row>
    <row r="44">
      <c r="A44" s="8" t="inlineStr">
        <is>
          <t>Sun late morning</t>
        </is>
      </c>
      <c r="B44" t="inlineStr">
        <is>
          <t>Health coaching + sleep report</t>
        </is>
      </c>
    </row>
    <row r="45">
      <c r="A45" s="8" t="inlineStr">
        <is>
          <t>Sun afternoon</t>
        </is>
      </c>
      <c r="B45" t="inlineStr">
        <is>
          <t>Departure</t>
        </is>
      </c>
    </row>
  </sheetData>
  <mergeCells count="10">
    <mergeCell ref="B39:C39"/>
    <mergeCell ref="B38:C38"/>
    <mergeCell ref="B44:C44"/>
    <mergeCell ref="A1:C1"/>
    <mergeCell ref="B37:C37"/>
    <mergeCell ref="B42:C42"/>
    <mergeCell ref="B45:C45"/>
    <mergeCell ref="B40:C40"/>
    <mergeCell ref="B41:C41"/>
    <mergeCell ref="B43:C4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4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</cols>
  <sheetData>
    <row r="1">
      <c r="A1" s="23" t="inlineStr">
        <is>
          <t>The Long Pause</t>
        </is>
      </c>
    </row>
    <row r="2">
      <c r="A2" s="24" t="inlineStr">
        <is>
          <t>5 nights</t>
        </is>
      </c>
    </row>
    <row r="4">
      <c r="A4" s="8" t="inlineStr">
        <is>
          <t>Programme fee (guest pays)</t>
        </is>
      </c>
      <c r="B4" s="25" t="n">
        <v>1790</v>
      </c>
    </row>
    <row r="6">
      <c r="A6" s="12" t="inlineStr">
        <is>
          <t>PASS-THROUGH (Medilab / third-party)</t>
        </is>
      </c>
      <c r="B6" s="12" t="n"/>
      <c r="C6" s="12" t="n"/>
    </row>
    <row r="7">
      <c r="A7" t="inlineStr">
        <is>
          <t>Nidana Tier 2 Longevity Baseline (Medilab)</t>
        </is>
      </c>
      <c r="B7" s="13" t="n">
        <v>290</v>
      </c>
    </row>
    <row r="8">
      <c r="A8" t="inlineStr">
        <is>
          <t>Orion Sleep Disruption Test</t>
        </is>
      </c>
      <c r="B8" s="13" t="n">
        <v>20</v>
      </c>
    </row>
    <row r="9">
      <c r="A9" s="14" t="inlineStr">
        <is>
          <t>Pass-through total</t>
        </is>
      </c>
      <c r="B9" s="15">
        <f>SUM(B7:B8)</f>
        <v/>
      </c>
    </row>
    <row r="11">
      <c r="A11" s="12" t="inlineStr">
        <is>
          <t>HOTEL DELIVERY (clinician time + materials)</t>
        </is>
      </c>
      <c r="B11" s="12" t="n"/>
      <c r="C11" s="12" t="n"/>
    </row>
    <row r="12">
      <c r="A12" t="inlineStr">
        <is>
          <t>Naya Mati GP (45min intake + 30min review)</t>
        </is>
      </c>
      <c r="B12" s="13" t="n">
        <v>115</v>
      </c>
    </row>
    <row r="13">
      <c r="A13" t="inlineStr">
        <is>
          <t>Prakriti Mati Dr Kerur (60min arrival)</t>
        </is>
      </c>
      <c r="B13" s="13" t="n">
        <v>65</v>
      </c>
    </row>
    <row r="14">
      <c r="A14" t="inlineStr">
        <is>
          <t>Pathya Mati dietitian (45min + 30min)</t>
        </is>
      </c>
      <c r="B14" s="13" t="n">
        <v>65</v>
      </c>
    </row>
    <row r="15">
      <c r="A15" t="inlineStr">
        <is>
          <t>Manas Mati psychology (60min)</t>
        </is>
      </c>
      <c r="B15" s="13" t="n">
        <v>55</v>
      </c>
    </row>
    <row r="16">
      <c r="A16" t="inlineStr">
        <is>
          <t>Deha DEXA scan</t>
        </is>
      </c>
      <c r="B16" s="13" t="n">
        <v>50</v>
      </c>
    </row>
    <row r="17">
      <c r="A17" t="inlineStr">
        <is>
          <t>Kaya assessment battery + 2 Bala sessions + interp</t>
        </is>
      </c>
      <c r="B17" s="13" t="n">
        <v>150</v>
      </c>
    </row>
    <row r="18">
      <c r="A18" t="inlineStr">
        <is>
          <t>Nidra Orion 5 nights + Terra + SDT interpretation</t>
        </is>
      </c>
      <c r="B18" s="13" t="n">
        <v>30</v>
      </c>
    </row>
    <row r="19">
      <c r="A19" t="inlineStr">
        <is>
          <t>Hima 2–3 cryo sessions</t>
        </is>
      </c>
      <c r="B19" s="13" t="n">
        <v>30</v>
      </c>
    </row>
    <row r="20">
      <c r="A20" t="inlineStr">
        <is>
          <t>Prana 2–3 sessions</t>
        </is>
      </c>
      <c r="B20" s="13" t="n">
        <v>15</v>
      </c>
    </row>
    <row r="21">
      <c r="A21" t="inlineStr">
        <is>
          <t>Health coaching (mid-stay + departure, 60min each)</t>
        </is>
      </c>
      <c r="B21" s="13" t="n">
        <v>70</v>
      </c>
    </row>
    <row r="22">
      <c r="A22" t="inlineStr">
        <is>
          <t>Written 4-week protocol</t>
        </is>
      </c>
      <c r="B22" s="13" t="n">
        <v>30</v>
      </c>
    </row>
    <row r="23">
      <c r="A23" t="inlineStr">
        <is>
          <t>Two post-stay video check-ins</t>
        </is>
      </c>
      <c r="B23" s="13" t="n">
        <v>30</v>
      </c>
    </row>
    <row r="24">
      <c r="A24" t="inlineStr">
        <is>
          <t>Two Long Walks</t>
        </is>
      </c>
      <c r="B24" s="13" t="n">
        <v>20</v>
      </c>
    </row>
    <row r="25">
      <c r="A25" s="14" t="inlineStr">
        <is>
          <t>Hotel delivery total</t>
        </is>
      </c>
      <c r="B25" s="15">
        <f>SUM(B12:B24)</f>
        <v/>
      </c>
    </row>
    <row r="27">
      <c r="A27" s="8" t="inlineStr">
        <is>
          <t>Total delivery cost</t>
        </is>
      </c>
      <c r="B27" s="15">
        <f>B9+B25</f>
        <v/>
      </c>
    </row>
    <row r="28">
      <c r="A28" s="26" t="inlineStr">
        <is>
          <t>Net to hotel (fee − pass-through)</t>
        </is>
      </c>
      <c r="B28" s="13">
        <f>B4-B9</f>
        <v/>
      </c>
    </row>
    <row r="29">
      <c r="A29" s="27" t="inlineStr">
        <is>
          <t>Contribution to hotel</t>
        </is>
      </c>
      <c r="B29" s="16">
        <f>B28-B25</f>
        <v/>
      </c>
    </row>
    <row r="30">
      <c r="A30" t="inlineStr">
        <is>
          <t>Margin on net-to-hotel</t>
        </is>
      </c>
      <c r="B30" s="28">
        <f>B29/B28</f>
        <v/>
      </c>
    </row>
    <row r="32">
      <c r="A32" s="12" t="inlineStr">
        <is>
          <t>GUEST ALL-IN PRICING</t>
        </is>
      </c>
      <c r="B32" s="12" t="n"/>
      <c r="C32" s="12" t="n"/>
    </row>
    <row r="33">
      <c r="A33" t="inlineStr">
        <is>
          <t>Programme fee</t>
        </is>
      </c>
      <c r="B33" s="13" t="n">
        <v>1790</v>
      </c>
    </row>
    <row r="34">
      <c r="A34" t="inlineStr">
        <is>
          <t>Room (low → high)</t>
        </is>
      </c>
      <c r="B34" s="13" t="n">
        <v>880</v>
      </c>
      <c r="C34" s="13" t="n">
        <v>2060</v>
      </c>
    </row>
    <row r="35">
      <c r="A35" t="inlineStr">
        <is>
          <t>Food</t>
        </is>
      </c>
      <c r="B35" s="13" t="n">
        <v>450</v>
      </c>
    </row>
    <row r="36">
      <c r="A36" s="8" t="inlineStr">
        <is>
          <t>Guest all-in (low → high)</t>
        </is>
      </c>
      <c r="B36" s="17" t="n">
        <v>3120</v>
      </c>
      <c r="C36" s="17" t="n">
        <v>4300</v>
      </c>
    </row>
    <row r="38">
      <c r="A38" s="12" t="inlineStr">
        <is>
          <t>ITINERARY</t>
        </is>
      </c>
      <c r="B38" s="12" t="n"/>
      <c r="C38" s="12" t="n"/>
    </row>
    <row r="39">
      <c r="A39" s="8" t="inlineStr">
        <is>
          <t>Day 1 (Sun)</t>
        </is>
      </c>
      <c r="B39" t="inlineStr">
        <is>
          <t>Arrival, Orion setup, AcuPebble SDT</t>
        </is>
      </c>
    </row>
    <row r="40">
      <c r="A40" s="8" t="inlineStr">
        <is>
          <t>Day 2 (Mon)</t>
        </is>
      </c>
      <c r="B40" t="inlineStr">
        <is>
          <t>Nidana Tier 2 bloods, Naya Mati, Prakriti Mati, Pathya Mati, DEXA, Long Walk, Prana 1</t>
        </is>
      </c>
    </row>
    <row r="41">
      <c r="A41" s="8" t="inlineStr">
        <is>
          <t>Day 3 (Tue)</t>
        </is>
      </c>
      <c r="B41" t="inlineStr">
        <is>
          <t>Kaya battery, optional Ayush, Manas Mati, first Hima</t>
        </is>
      </c>
    </row>
    <row r="42">
      <c r="A42" s="8" t="inlineStr">
        <is>
          <t>Day 4 (Wed)</t>
        </is>
      </c>
      <c r="B42" t="inlineStr">
        <is>
          <t>Mid-week bloods review, first Bala, health coaching, second Hima, Prana 2, second Long Walk</t>
        </is>
      </c>
    </row>
    <row r="43">
      <c r="A43" s="8" t="inlineStr">
        <is>
          <t>Day 5 (Thu)</t>
        </is>
      </c>
      <c r="B43" t="inlineStr">
        <is>
          <t>Prakriti follow-up, second Bala, third Hima optional, spa, Prana 3</t>
        </is>
      </c>
    </row>
    <row r="44">
      <c r="A44" s="8" t="inlineStr">
        <is>
          <t>Day 6 (Fri)</t>
        </is>
      </c>
      <c r="B44" t="inlineStr">
        <is>
          <t>Pathya + Prakriti departure, health coaching, Nidra sleep report, departure</t>
        </is>
      </c>
    </row>
  </sheetData>
  <mergeCells count="7">
    <mergeCell ref="B39:C39"/>
    <mergeCell ref="B44:C44"/>
    <mergeCell ref="A1:C1"/>
    <mergeCell ref="B42:C42"/>
    <mergeCell ref="B40:C40"/>
    <mergeCell ref="B41:C41"/>
    <mergeCell ref="B43:C4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3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</cols>
  <sheetData>
    <row r="1">
      <c r="A1" s="23" t="inlineStr">
        <is>
          <t>The Long Reset</t>
        </is>
      </c>
    </row>
    <row r="2">
      <c r="A2" s="24" t="inlineStr">
        <is>
          <t>7 nights</t>
        </is>
      </c>
    </row>
    <row r="4">
      <c r="A4" s="8" t="inlineStr">
        <is>
          <t>Programme fee (guest pays)</t>
        </is>
      </c>
      <c r="B4" s="25" t="n">
        <v>3290</v>
      </c>
    </row>
    <row r="6">
      <c r="A6" s="12" t="inlineStr">
        <is>
          <t>PASS-THROUGH (Medilab / third-party)</t>
        </is>
      </c>
      <c r="B6" s="12" t="n"/>
      <c r="C6" s="12" t="n"/>
    </row>
    <row r="7">
      <c r="A7" t="inlineStr">
        <is>
          <t>Nidana Tier 3 Comprehensive Panel (Medilab, 3 draws + consults)</t>
        </is>
      </c>
      <c r="B7" s="13" t="n">
        <v>470</v>
      </c>
    </row>
    <row r="8">
      <c r="A8" s="14" t="inlineStr">
        <is>
          <t>Pass-through total</t>
        </is>
      </c>
      <c r="B8" s="15">
        <f>SUM(B7:B7)</f>
        <v/>
      </c>
    </row>
    <row r="10">
      <c r="A10" s="12" t="inlineStr">
        <is>
          <t>HOTEL DELIVERY (clinician time + materials)</t>
        </is>
      </c>
      <c r="B10" s="12" t="n"/>
      <c r="C10" s="12" t="n"/>
    </row>
    <row r="11">
      <c r="A11" t="inlineStr">
        <is>
          <t>Dr Prasanna Kerur extended daily contact</t>
        </is>
      </c>
      <c r="B11" s="13" t="n">
        <v>114</v>
      </c>
    </row>
    <row r="12">
      <c r="A12" t="inlineStr">
        <is>
          <t>DEXA scan</t>
        </is>
      </c>
      <c r="B12" s="13" t="n">
        <v>50</v>
      </c>
    </row>
    <row r="13">
      <c r="A13" t="inlineStr">
        <is>
          <t>Arrival + departure on-site diagnostic panels (2)</t>
        </is>
      </c>
      <c r="B13" s="13" t="n">
        <v>160</v>
      </c>
    </row>
    <row r="14">
      <c r="A14" t="inlineStr">
        <is>
          <t>Orion Sleep System (7 nights amortisation)</t>
        </is>
      </c>
      <c r="B14" s="13" t="n">
        <v>35</v>
      </c>
    </row>
    <row r="15">
      <c r="A15" t="inlineStr">
        <is>
          <t>Terra auto-generated sleep report</t>
        </is>
      </c>
      <c r="B15" s="13" t="n">
        <v>3</v>
      </c>
    </row>
    <row r="16">
      <c r="A16" t="inlineStr">
        <is>
          <t>Three health coaching sessions</t>
        </is>
      </c>
      <c r="B16" s="13" t="n">
        <v>135</v>
      </c>
    </row>
    <row r="17">
      <c r="A17" t="inlineStr">
        <is>
          <t>Written dinacharya / 30-day protocol</t>
        </is>
      </c>
      <c r="B17" s="13" t="n">
        <v>45</v>
      </c>
    </row>
    <row r="18">
      <c r="A18" t="inlineStr">
        <is>
          <t>Two post-stay video check-ins</t>
        </is>
      </c>
      <c r="B18" s="13" t="n">
        <v>30</v>
      </c>
    </row>
    <row r="19">
      <c r="A19" t="inlineStr">
        <is>
          <t>Daily movement programme (amortised)</t>
        </is>
      </c>
      <c r="B19" s="13" t="n">
        <v>35</v>
      </c>
    </row>
    <row r="20">
      <c r="A20" t="inlineStr">
        <is>
          <t>Three guided Long Walks</t>
        </is>
      </c>
      <c r="B20" s="13" t="n">
        <v>60</v>
      </c>
    </row>
    <row r="21">
      <c r="A21" t="inlineStr">
        <is>
          <t>Philosophy (2) + cooking session (amortised)</t>
        </is>
      </c>
      <c r="B21" s="13" t="n">
        <v>25</v>
      </c>
    </row>
    <row r="22">
      <c r="A22" t="inlineStr">
        <is>
          <t>Cold exposure &amp; breathwork facility</t>
        </is>
      </c>
      <c r="B22" s="13" t="n">
        <v>15</v>
      </c>
    </row>
    <row r="23">
      <c r="A23" s="14" t="inlineStr">
        <is>
          <t>Hotel delivery total</t>
        </is>
      </c>
      <c r="B23" s="15">
        <f>SUM(B11:B22)</f>
        <v/>
      </c>
    </row>
    <row r="25">
      <c r="A25" s="8" t="inlineStr">
        <is>
          <t>Total delivery cost</t>
        </is>
      </c>
      <c r="B25" s="15">
        <f>B8+B23</f>
        <v/>
      </c>
    </row>
    <row r="26">
      <c r="A26" s="26" t="inlineStr">
        <is>
          <t>Net to hotel (fee − pass-through)</t>
        </is>
      </c>
      <c r="B26" s="13">
        <f>B4-B8</f>
        <v/>
      </c>
    </row>
    <row r="27">
      <c r="A27" s="27" t="inlineStr">
        <is>
          <t>Contribution to hotel</t>
        </is>
      </c>
      <c r="B27" s="16">
        <f>B26-B23</f>
        <v/>
      </c>
    </row>
    <row r="28">
      <c r="A28" t="inlineStr">
        <is>
          <t>Margin on net-to-hotel</t>
        </is>
      </c>
      <c r="B28" s="28">
        <f>B27/B26</f>
        <v/>
      </c>
    </row>
    <row r="30">
      <c r="A30" s="12" t="inlineStr">
        <is>
          <t>GUEST ALL-IN PRICING</t>
        </is>
      </c>
      <c r="B30" s="12" t="n"/>
      <c r="C30" s="12" t="n"/>
    </row>
    <row r="31">
      <c r="A31" t="inlineStr">
        <is>
          <t>Programme fee</t>
        </is>
      </c>
      <c r="B31" s="13" t="n">
        <v>3290</v>
      </c>
    </row>
    <row r="32">
      <c r="A32" t="inlineStr">
        <is>
          <t>Room (low → high)</t>
        </is>
      </c>
      <c r="B32" s="13" t="n">
        <v>1155</v>
      </c>
      <c r="C32" s="13" t="n">
        <v>2704</v>
      </c>
    </row>
    <row r="33">
      <c r="A33" t="inlineStr">
        <is>
          <t>Food</t>
        </is>
      </c>
      <c r="B33" s="13" t="n">
        <v>630</v>
      </c>
    </row>
    <row r="34">
      <c r="A34" s="8" t="inlineStr">
        <is>
          <t>Guest all-in (low → high)</t>
        </is>
      </c>
      <c r="B34" s="17" t="n">
        <v>5075</v>
      </c>
      <c r="C34" s="17" t="n">
        <v>6624</v>
      </c>
    </row>
    <row r="36">
      <c r="A36" s="12" t="inlineStr">
        <is>
          <t>ITINERARY</t>
        </is>
      </c>
      <c r="B36" s="12" t="n"/>
      <c r="C36" s="12" t="n"/>
    </row>
    <row r="37">
      <c r="A37" s="8" t="inlineStr">
        <is>
          <t>Day 1 (Sun)</t>
        </is>
      </c>
      <c r="B37" t="inlineStr">
        <is>
          <t>Arrival, Orion baseline</t>
        </is>
      </c>
    </row>
    <row r="38">
      <c r="A38" s="8" t="inlineStr">
        <is>
          <t>Day 2 (Mon)</t>
        </is>
      </c>
      <c r="B38" t="inlineStr">
        <is>
          <t>Nidana arrival draw, Naya + Prakriti Mati (60min each), DEXA, Kaya battery, Pathya + Manas Mati, Long Walk, Philosophy 1</t>
        </is>
      </c>
    </row>
    <row r="39">
      <c r="A39" s="8" t="inlineStr">
        <is>
          <t>Day 3 (Tue)</t>
        </is>
      </c>
      <c r="B39" t="inlineStr">
        <is>
          <t>Pranayama, movement, optional Ayush, health coaching 1</t>
        </is>
      </c>
    </row>
    <row r="40">
      <c r="A40" s="8" t="inlineStr">
        <is>
          <t>Day 4 (Wed)</t>
        </is>
      </c>
      <c r="B40" t="inlineStr">
        <is>
          <t>Mid-week Nidana recheck, Dr Chande + Dr Kerur mid-stay review, longevity cooking, breathwork + cold exposure</t>
        </is>
      </c>
    </row>
    <row r="41">
      <c r="A41" s="8" t="inlineStr">
        <is>
          <t>Day 5 (Thu)</t>
        </is>
      </c>
      <c r="B41" t="inlineStr">
        <is>
          <t>Strength session, optional shirodhara, health coaching 2, Long Walk, Philosophy 2</t>
        </is>
      </c>
    </row>
    <row r="42">
      <c r="A42" s="8" t="inlineStr">
        <is>
          <t>Day 6 (Fri)</t>
        </is>
      </c>
      <c r="B42" t="inlineStr">
        <is>
          <t>Movement, optional Ayush, health coaching 3 draft, Long Walk</t>
        </is>
      </c>
    </row>
    <row r="43">
      <c r="A43" s="8" t="inlineStr">
        <is>
          <t>Day 7 (Sat)</t>
        </is>
      </c>
      <c r="B43" t="inlineStr">
        <is>
          <t>Departure Nidana recheck, Prakriti + Pathya departure, health coaching 3 finalised, departure</t>
        </is>
      </c>
    </row>
  </sheetData>
  <mergeCells count="8">
    <mergeCell ref="B39:C39"/>
    <mergeCell ref="B38:C38"/>
    <mergeCell ref="A1:C1"/>
    <mergeCell ref="B37:C37"/>
    <mergeCell ref="B42:C42"/>
    <mergeCell ref="B40:C40"/>
    <mergeCell ref="B41:C41"/>
    <mergeCell ref="B43:C4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46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</cols>
  <sheetData>
    <row r="1">
      <c r="A1" s="23" t="inlineStr">
        <is>
          <t>The Long View</t>
        </is>
      </c>
    </row>
    <row r="2">
      <c r="A2" s="24" t="inlineStr">
        <is>
          <t>12 nights</t>
        </is>
      </c>
    </row>
    <row r="4">
      <c r="A4" s="8" t="inlineStr">
        <is>
          <t>Programme fee (guest pays)</t>
        </is>
      </c>
      <c r="B4" s="25" t="n">
        <v>8050</v>
      </c>
    </row>
    <row r="6">
      <c r="A6" s="12" t="inlineStr">
        <is>
          <t>PASS-THROUGH (Medilab / third-party)</t>
        </is>
      </c>
      <c r="B6" s="12" t="n"/>
      <c r="C6" s="12" t="n"/>
    </row>
    <row r="7">
      <c r="A7" t="inlineStr">
        <is>
          <t>Nidana Tier 4 Deep Longevity Panel (4 time points + 4 consultations)</t>
        </is>
      </c>
      <c r="B7" s="13" t="n">
        <v>690</v>
      </c>
    </row>
    <row r="8">
      <c r="A8" s="14" t="inlineStr">
        <is>
          <t>Pass-through total</t>
        </is>
      </c>
      <c r="B8" s="15">
        <f>SUM(B7:B7)</f>
        <v/>
      </c>
    </row>
    <row r="10">
      <c r="A10" s="12" t="inlineStr">
        <is>
          <t>HOTEL DELIVERY (clinician time + materials)</t>
        </is>
      </c>
      <c r="B10" s="12" t="n"/>
      <c r="C10" s="12" t="n"/>
    </row>
    <row r="11">
      <c r="A11" t="inlineStr">
        <is>
          <t>Dr Prasanna Kerur daily clinical contact</t>
        </is>
      </c>
      <c r="B11" s="13" t="n">
        <v>260</v>
      </c>
    </row>
    <row r="12">
      <c r="A12" t="inlineStr">
        <is>
          <t>Half-stay 60min review (Dr Kerur)</t>
        </is>
      </c>
      <c r="B12" s="13" t="n">
        <v>65</v>
      </c>
    </row>
    <row r="13">
      <c r="A13" t="inlineStr">
        <is>
          <t>Two DEXA scans</t>
        </is>
      </c>
      <c r="B13" s="13" t="n">
        <v>100</v>
      </c>
    </row>
    <row r="14">
      <c r="A14" t="inlineStr">
        <is>
          <t>Arrival + departure on-site diagnostic panels</t>
        </is>
      </c>
      <c r="B14" s="13" t="n">
        <v>160</v>
      </c>
    </row>
    <row r="15">
      <c r="A15" t="inlineStr">
        <is>
          <t>Orion Sleep System (12 nights amortisation)</t>
        </is>
      </c>
      <c r="B15" s="13" t="n">
        <v>60</v>
      </c>
    </row>
    <row r="16">
      <c r="A16" t="inlineStr">
        <is>
          <t>Terra auto-generated sleep report</t>
        </is>
      </c>
      <c r="B16" s="13" t="n">
        <v>3</v>
      </c>
    </row>
    <row r="17">
      <c r="A17" t="inlineStr">
        <is>
          <t>Daily health coaching × 14 sessions</t>
        </is>
      </c>
      <c r="B17" s="13" t="n">
        <v>210</v>
      </c>
    </row>
    <row r="18">
      <c r="A18" t="inlineStr">
        <is>
          <t>Two weekly programme reviews</t>
        </is>
      </c>
      <c r="B18" s="13" t="n">
        <v>60</v>
      </c>
    </row>
    <row r="19">
      <c r="A19" t="inlineStr">
        <is>
          <t>Written 30-day protocol</t>
        </is>
      </c>
      <c r="B19" s="13" t="n">
        <v>45</v>
      </c>
    </row>
    <row r="20">
      <c r="A20" t="inlineStr">
        <is>
          <t>8-week post-stay follow-up (4 check-ins)</t>
        </is>
      </c>
      <c r="B20" s="13" t="n">
        <v>60</v>
      </c>
    </row>
    <row r="21">
      <c r="A21" t="inlineStr">
        <is>
          <t>Daily movement + long walks + cold exposure</t>
        </is>
      </c>
      <c r="B21" s="13" t="n">
        <v>175</v>
      </c>
    </row>
    <row r="22">
      <c r="A22" t="inlineStr">
        <is>
          <t>Philosophy classes (5) + cooking sessions (2)</t>
        </is>
      </c>
      <c r="B22" s="13" t="n">
        <v>55</v>
      </c>
    </row>
    <row r="23">
      <c r="A23" t="inlineStr">
        <is>
          <t>Personal health record admin &amp; between-stays transfer</t>
        </is>
      </c>
      <c r="B23" s="13" t="n">
        <v>25</v>
      </c>
    </row>
    <row r="24">
      <c r="A24" s="14" t="inlineStr">
        <is>
          <t>Hotel delivery total</t>
        </is>
      </c>
      <c r="B24" s="15">
        <f>SUM(B11:B23)</f>
        <v/>
      </c>
    </row>
    <row r="26">
      <c r="A26" s="8" t="inlineStr">
        <is>
          <t>Total delivery cost</t>
        </is>
      </c>
      <c r="B26" s="15">
        <f>B8+B24</f>
        <v/>
      </c>
    </row>
    <row r="27">
      <c r="A27" s="26" t="inlineStr">
        <is>
          <t>Net to hotel (fee − pass-through)</t>
        </is>
      </c>
      <c r="B27" s="13">
        <f>B4-B8</f>
        <v/>
      </c>
    </row>
    <row r="28">
      <c r="A28" s="27" t="inlineStr">
        <is>
          <t>Contribution to hotel</t>
        </is>
      </c>
      <c r="B28" s="16">
        <f>B27-B24</f>
        <v/>
      </c>
    </row>
    <row r="29">
      <c r="A29" t="inlineStr">
        <is>
          <t>Margin on net-to-hotel</t>
        </is>
      </c>
      <c r="B29" s="28">
        <f>B28/B27</f>
        <v/>
      </c>
    </row>
    <row r="31">
      <c r="A31" s="12" t="inlineStr">
        <is>
          <t>GUEST ALL-IN PRICING</t>
        </is>
      </c>
      <c r="B31" s="12" t="n"/>
      <c r="C31" s="12" t="n"/>
    </row>
    <row r="32">
      <c r="A32" t="inlineStr">
        <is>
          <t>Programme fee</t>
        </is>
      </c>
      <c r="B32" s="13" t="n">
        <v>8050</v>
      </c>
    </row>
    <row r="33">
      <c r="A33" t="inlineStr">
        <is>
          <t>Room (low → high)</t>
        </is>
      </c>
      <c r="B33" s="13" t="n">
        <v>1848</v>
      </c>
      <c r="C33" s="13" t="n">
        <v>4326</v>
      </c>
    </row>
    <row r="34">
      <c r="A34" t="inlineStr">
        <is>
          <t>Food</t>
        </is>
      </c>
      <c r="B34" s="13" t="n">
        <v>1080</v>
      </c>
    </row>
    <row r="35">
      <c r="A35" s="8" t="inlineStr">
        <is>
          <t>Guest all-in (low → high)</t>
        </is>
      </c>
      <c r="B35" s="17" t="n">
        <v>10978</v>
      </c>
      <c r="C35" s="17" t="n">
        <v>13456</v>
      </c>
    </row>
    <row r="37">
      <c r="A37" s="12" t="inlineStr">
        <is>
          <t>ITINERARY</t>
        </is>
      </c>
      <c r="B37" s="12" t="n"/>
      <c r="C37" s="12" t="n"/>
    </row>
    <row r="38">
      <c r="A38" s="8" t="inlineStr">
        <is>
          <t>Day 1</t>
        </is>
      </c>
      <c r="B38" t="inlineStr">
        <is>
          <t>Arrival</t>
        </is>
      </c>
    </row>
    <row r="39">
      <c r="A39" s="8" t="inlineStr">
        <is>
          <t>Day 2</t>
        </is>
      </c>
      <c r="B39" t="inlineStr">
        <is>
          <t>First baseline</t>
        </is>
      </c>
    </row>
    <row r="40">
      <c r="A40" s="8" t="inlineStr">
        <is>
          <t>Day 3</t>
        </is>
      </c>
      <c r="B40" t="inlineStr">
        <is>
          <t>Settling in</t>
        </is>
      </c>
    </row>
    <row r="41">
      <c r="A41" s="8" t="inlineStr">
        <is>
          <t>Days 4–6</t>
        </is>
      </c>
      <c r="B41" t="inlineStr">
        <is>
          <t>Daily rhythm pattern</t>
        </is>
      </c>
    </row>
    <row r="42">
      <c r="A42" s="8" t="inlineStr">
        <is>
          <t>Day 7</t>
        </is>
      </c>
      <c r="B42" t="inlineStr">
        <is>
          <t>Half-stay review</t>
        </is>
      </c>
    </row>
    <row r="43">
      <c r="A43" s="8" t="inlineStr">
        <is>
          <t>Days 8–11</t>
        </is>
      </c>
      <c r="B43" t="inlineStr">
        <is>
          <t>Deeper second week</t>
        </is>
      </c>
    </row>
    <row r="44">
      <c r="A44" s="8" t="inlineStr">
        <is>
          <t>Day 12</t>
        </is>
      </c>
      <c r="B44" t="inlineStr">
        <is>
          <t>Final diagnostic</t>
        </is>
      </c>
    </row>
    <row r="45">
      <c r="A45" s="8" t="inlineStr">
        <is>
          <t>Day 13</t>
        </is>
      </c>
      <c r="B45" t="inlineStr">
        <is>
          <t>Take-home protocol</t>
        </is>
      </c>
    </row>
    <row r="46">
      <c r="A46" s="8" t="inlineStr">
        <is>
          <t>Day 14</t>
        </is>
      </c>
      <c r="B46" t="inlineStr">
        <is>
          <t>Departure</t>
        </is>
      </c>
    </row>
  </sheetData>
  <mergeCells count="10">
    <mergeCell ref="B39:C39"/>
    <mergeCell ref="B38:C38"/>
    <mergeCell ref="B44:C44"/>
    <mergeCell ref="A1:C1"/>
    <mergeCell ref="B42:C42"/>
    <mergeCell ref="B45:C45"/>
    <mergeCell ref="B46:C46"/>
    <mergeCell ref="B40:C40"/>
    <mergeCell ref="B41:C41"/>
    <mergeCell ref="B43:C4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</cols>
  <sheetData>
    <row r="1">
      <c r="A1" s="23" t="inlineStr">
        <is>
          <t>Kanti — Skin</t>
        </is>
      </c>
    </row>
    <row r="3">
      <c r="A3" s="8" t="inlineStr">
        <is>
          <t>Programme fee (guest pays)</t>
        </is>
      </c>
      <c r="B3" s="25" t="n">
        <v>1200</v>
      </c>
    </row>
    <row r="5">
      <c r="A5" s="12" t="inlineStr">
        <is>
          <t>PASS-THROUGH (Medilab / third-party)</t>
        </is>
      </c>
      <c r="B5" s="12" t="n"/>
      <c r="C5" s="12" t="n"/>
    </row>
    <row r="6">
      <c r="A6" t="inlineStr">
        <is>
          <t>DUTCH hormone panel (Medilab)</t>
        </is>
      </c>
      <c r="B6" s="13" t="n">
        <v>90</v>
      </c>
    </row>
    <row r="7">
      <c r="A7" t="inlineStr">
        <is>
          <t>Perimenopausal skin bloods (Medilab)</t>
        </is>
      </c>
      <c r="B7" s="13" t="n">
        <v>50</v>
      </c>
    </row>
    <row r="8">
      <c r="A8" s="14" t="inlineStr">
        <is>
          <t>Pass-through total</t>
        </is>
      </c>
      <c r="B8" s="15">
        <f>SUM(B6:B7)</f>
        <v/>
      </c>
    </row>
    <row r="10">
      <c r="A10" s="12" t="inlineStr">
        <is>
          <t>HOTEL DELIVERY (clinician time + materials)</t>
        </is>
      </c>
      <c r="B10" s="12" t="n"/>
      <c r="C10" s="12" t="n"/>
    </row>
    <row r="11">
      <c r="A11" t="inlineStr">
        <is>
          <t>HIFU or RF microneedling</t>
        </is>
      </c>
      <c r="B11" s="13" t="n">
        <v>120</v>
      </c>
    </row>
    <row r="12">
      <c r="A12" t="inlineStr">
        <is>
          <t>Medical-grade peel</t>
        </is>
      </c>
      <c r="B12" s="13" t="n">
        <v>40</v>
      </c>
    </row>
    <row r="13">
      <c r="A13" t="inlineStr">
        <is>
          <t>Hydrafacial</t>
        </is>
      </c>
      <c r="B13" s="13" t="n">
        <v>50</v>
      </c>
    </row>
    <row r="14">
      <c r="A14" t="inlineStr">
        <is>
          <t>Aruna red-light sessions</t>
        </is>
      </c>
      <c r="B14" s="13" t="n">
        <v>80</v>
      </c>
    </row>
    <row r="15">
      <c r="A15" t="inlineStr">
        <is>
          <t>Dr Alexa Kerr intake (60min)</t>
        </is>
      </c>
      <c r="B15" s="13" t="n">
        <v>100</v>
      </c>
    </row>
    <row r="16">
      <c r="A16" t="inlineStr">
        <is>
          <t>VISIA imaging + skin analysis (30min)</t>
        </is>
      </c>
      <c r="B16" s="13" t="n">
        <v>40</v>
      </c>
    </row>
    <row r="17">
      <c r="A17" t="inlineStr">
        <is>
          <t>Written 12-week protocol drafting</t>
        </is>
      </c>
      <c r="B17" s="13" t="n">
        <v>30</v>
      </c>
    </row>
    <row r="18">
      <c r="A18" s="14" t="inlineStr">
        <is>
          <t>Hotel delivery total</t>
        </is>
      </c>
      <c r="B18" s="15">
        <f>SUM(B11:B17)</f>
        <v/>
      </c>
    </row>
    <row r="20">
      <c r="A20" s="8" t="inlineStr">
        <is>
          <t>Total delivery cost</t>
        </is>
      </c>
      <c r="B20" s="15">
        <f>B8+B18</f>
        <v/>
      </c>
    </row>
    <row r="21">
      <c r="A21" s="26" t="inlineStr">
        <is>
          <t>Net to hotel (fee − pass-through)</t>
        </is>
      </c>
      <c r="B21" s="13">
        <f>B3-B8</f>
        <v/>
      </c>
    </row>
    <row r="22">
      <c r="A22" s="27" t="inlineStr">
        <is>
          <t>Contribution to hotel</t>
        </is>
      </c>
      <c r="B22" s="16">
        <f>B21-B18</f>
        <v/>
      </c>
    </row>
    <row r="23">
      <c r="A23" t="inlineStr">
        <is>
          <t>Margin on net-to-hotel</t>
        </is>
      </c>
      <c r="B23" s="28">
        <f>B22/B21</f>
        <v/>
      </c>
    </row>
  </sheetData>
  <mergeCells count="1">
    <mergeCell ref="A1:C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</cols>
  <sheetData>
    <row r="1">
      <c r="A1" s="23" t="inlineStr">
        <is>
          <t>Nidra — Sleep</t>
        </is>
      </c>
    </row>
    <row r="3">
      <c r="A3" s="8" t="inlineStr">
        <is>
          <t>Programme fee (guest pays)</t>
        </is>
      </c>
      <c r="B3" s="25" t="n">
        <v>700</v>
      </c>
    </row>
    <row r="5">
      <c r="A5" s="12" t="inlineStr">
        <is>
          <t>PASS-THROUGH (Medilab / third-party)</t>
        </is>
      </c>
      <c r="B5" s="12" t="n"/>
      <c r="C5" s="12" t="n"/>
    </row>
    <row r="6">
      <c r="A6" s="26" t="inlineStr">
        <is>
          <t>(none — no third-party pass-through)</t>
        </is>
      </c>
    </row>
    <row r="7">
      <c r="A7" s="14" t="inlineStr">
        <is>
          <t>Pass-through total</t>
        </is>
      </c>
      <c r="B7" s="15" t="n">
        <v>0</v>
      </c>
    </row>
    <row r="9">
      <c r="A9" s="12" t="inlineStr">
        <is>
          <t>HOTEL DELIVERY (clinician time + materials)</t>
        </is>
      </c>
      <c r="B9" s="12" t="n"/>
      <c r="C9" s="12" t="n"/>
    </row>
    <row r="10">
      <c r="A10" t="inlineStr">
        <is>
          <t>CBT-I course × 4 sessions (Manas psychologist)</t>
        </is>
      </c>
      <c r="B10" s="13" t="n">
        <v>220</v>
      </c>
    </row>
    <row r="11">
      <c r="A11" t="inlineStr">
        <is>
          <t>Chronotype assessment + MEQ review</t>
        </is>
      </c>
      <c r="B11" s="13" t="n">
        <v>30</v>
      </c>
    </row>
    <row r="12">
      <c r="A12" t="inlineStr">
        <is>
          <t>Written sleep-environment plan drafting</t>
        </is>
      </c>
      <c r="B12" s="13" t="n">
        <v>30</v>
      </c>
    </row>
    <row r="13">
      <c r="A13" t="inlineStr">
        <is>
          <t>AcuPebble Acurable report (blended absorption)</t>
        </is>
      </c>
      <c r="B13" s="13" t="n">
        <v>30</v>
      </c>
    </row>
    <row r="14">
      <c r="A14" s="14" t="inlineStr">
        <is>
          <t>Hotel delivery total</t>
        </is>
      </c>
      <c r="B14" s="15">
        <f>SUM(B10:B13)</f>
        <v/>
      </c>
    </row>
    <row r="16">
      <c r="A16" s="8" t="inlineStr">
        <is>
          <t>Total delivery cost</t>
        </is>
      </c>
      <c r="B16" s="15">
        <f>B7+B14</f>
        <v/>
      </c>
    </row>
    <row r="17">
      <c r="A17" s="26" t="inlineStr">
        <is>
          <t>Net to hotel (fee − pass-through)</t>
        </is>
      </c>
      <c r="B17" s="13">
        <f>B3-B7</f>
        <v/>
      </c>
    </row>
    <row r="18">
      <c r="A18" s="27" t="inlineStr">
        <is>
          <t>Contribution to hotel</t>
        </is>
      </c>
      <c r="B18" s="16">
        <f>B17-B14</f>
        <v/>
      </c>
    </row>
    <row r="19">
      <c r="A19" t="inlineStr">
        <is>
          <t>Margin on net-to-hotel</t>
        </is>
      </c>
      <c r="B19" s="28">
        <f>B18/B17</f>
        <v/>
      </c>
    </row>
  </sheetData>
  <mergeCells count="1">
    <mergeCell ref="A1:C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</cols>
  <sheetData>
    <row r="1">
      <c r="A1" s="23" t="inlineStr">
        <is>
          <t>Klesha — Stress &amp; Burnout</t>
        </is>
      </c>
    </row>
    <row r="3">
      <c r="A3" s="8" t="inlineStr">
        <is>
          <t>Programme fee (guest pays)</t>
        </is>
      </c>
      <c r="B3" s="25" t="n">
        <v>1600</v>
      </c>
    </row>
    <row r="5">
      <c r="A5" s="12" t="inlineStr">
        <is>
          <t>PASS-THROUGH (Medilab / third-party)</t>
        </is>
      </c>
      <c r="B5" s="12" t="n"/>
      <c r="C5" s="12" t="n"/>
    </row>
    <row r="6">
      <c r="A6" t="inlineStr">
        <is>
          <t>DUTCH cortisol-rhythm panel</t>
        </is>
      </c>
      <c r="B6" s="13" t="n">
        <v>90</v>
      </c>
    </row>
    <row r="7">
      <c r="A7" t="inlineStr">
        <is>
          <t>Extended thyroid work</t>
        </is>
      </c>
      <c r="B7" s="13" t="n">
        <v>60</v>
      </c>
    </row>
    <row r="8">
      <c r="A8" t="inlineStr">
        <is>
          <t>Nutrient panel</t>
        </is>
      </c>
      <c r="B8" s="13" t="n">
        <v>50</v>
      </c>
    </row>
    <row r="9">
      <c r="A9" s="14" t="inlineStr">
        <is>
          <t>Pass-through total</t>
        </is>
      </c>
      <c r="B9" s="15">
        <f>SUM(B6:B8)</f>
        <v/>
      </c>
    </row>
    <row r="11">
      <c r="A11" s="12" t="inlineStr">
        <is>
          <t>HOTEL DELIVERY (clinician time + materials)</t>
        </is>
      </c>
      <c r="B11" s="12" t="n"/>
      <c r="C11" s="12" t="n"/>
    </row>
    <row r="12">
      <c r="A12" t="inlineStr">
        <is>
          <t>Dr Marie-Christine Dix intake (60min)</t>
        </is>
      </c>
      <c r="B12" s="13" t="n">
        <v>65</v>
      </c>
    </row>
    <row r="13">
      <c r="A13" t="inlineStr">
        <is>
          <t>Dr Dix mid-stay review (30min)</t>
        </is>
      </c>
      <c r="B13" s="13" t="n">
        <v>35</v>
      </c>
    </row>
    <row r="14">
      <c r="A14" t="inlineStr">
        <is>
          <t>Manas psychologist × 5 sessions (60min)</t>
        </is>
      </c>
      <c r="B14" s="13" t="n">
        <v>275</v>
      </c>
    </row>
    <row r="15">
      <c r="A15" t="inlineStr">
        <is>
          <t>CBT-I × 3 sessions (Manas psychologist)</t>
        </is>
      </c>
      <c r="B15" s="13" t="n">
        <v>165</v>
      </c>
    </row>
    <row r="16">
      <c r="A16" t="inlineStr">
        <is>
          <t>Written take-home protocol drafting</t>
        </is>
      </c>
      <c r="B16" s="13" t="n">
        <v>50</v>
      </c>
    </row>
    <row r="17">
      <c r="A17" s="14" t="inlineStr">
        <is>
          <t>Hotel delivery total</t>
        </is>
      </c>
      <c r="B17" s="15">
        <f>SUM(B12:B16)</f>
        <v/>
      </c>
    </row>
    <row r="19">
      <c r="A19" s="8" t="inlineStr">
        <is>
          <t>Total delivery cost</t>
        </is>
      </c>
      <c r="B19" s="15">
        <f>B9+B17</f>
        <v/>
      </c>
    </row>
    <row r="20">
      <c r="A20" s="26" t="inlineStr">
        <is>
          <t>Net to hotel (fee − pass-through)</t>
        </is>
      </c>
      <c r="B20" s="13">
        <f>B3-B9</f>
        <v/>
      </c>
    </row>
    <row r="21">
      <c r="A21" s="27" t="inlineStr">
        <is>
          <t>Contribution to hotel</t>
        </is>
      </c>
      <c r="B21" s="16">
        <f>B20-B17</f>
        <v/>
      </c>
    </row>
    <row r="22">
      <c r="A22" t="inlineStr">
        <is>
          <t>Margin on net-to-hotel</t>
        </is>
      </c>
      <c r="B22" s="28">
        <f>B21/B20</f>
        <v/>
      </c>
    </row>
  </sheetData>
  <mergeCells count="1">
    <mergeCell ref="A1:C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</cols>
  <sheetData>
    <row r="1">
      <c r="A1" s="23" t="inlineStr">
        <is>
          <t>Manas — Depth Psychology</t>
        </is>
      </c>
    </row>
    <row r="3">
      <c r="A3" s="8" t="inlineStr">
        <is>
          <t>Programme fee (guest pays)</t>
        </is>
      </c>
      <c r="B3" s="25" t="n">
        <v>1300</v>
      </c>
    </row>
    <row r="5">
      <c r="A5" s="12" t="inlineStr">
        <is>
          <t>PASS-THROUGH (Medilab / third-party)</t>
        </is>
      </c>
      <c r="B5" s="12" t="n"/>
      <c r="C5" s="12" t="n"/>
    </row>
    <row r="6">
      <c r="A6" s="26" t="inlineStr">
        <is>
          <t>(none — no third-party pass-through)</t>
        </is>
      </c>
    </row>
    <row r="7">
      <c r="A7" s="14" t="inlineStr">
        <is>
          <t>Pass-through total</t>
        </is>
      </c>
      <c r="B7" s="15" t="n">
        <v>0</v>
      </c>
    </row>
    <row r="9">
      <c r="A9" s="12" t="inlineStr">
        <is>
          <t>HOTEL DELIVERY (clinician time + materials)</t>
        </is>
      </c>
      <c r="B9" s="12" t="n"/>
      <c r="C9" s="12" t="n"/>
    </row>
    <row r="10">
      <c r="A10" t="inlineStr">
        <is>
          <t>Manas psychologist × 7 sessions (60min)</t>
        </is>
      </c>
      <c r="B10" s="13" t="n">
        <v>385</v>
      </c>
    </row>
    <row r="11">
      <c r="A11" t="inlineStr">
        <is>
          <t>MBSR foundation × 4 group sessions</t>
        </is>
      </c>
      <c r="B11" s="13" t="n">
        <v>85</v>
      </c>
    </row>
    <row r="12">
      <c r="A12" t="inlineStr">
        <is>
          <t>Optional EMDR (amortised across cohort)</t>
        </is>
      </c>
      <c r="B12" s="13" t="n">
        <v>50</v>
      </c>
    </row>
    <row r="13">
      <c r="A13" t="inlineStr">
        <is>
          <t>Arti Kukreti 1-to-1 yoga therapy × 2</t>
        </is>
      </c>
      <c r="B13" s="13" t="n">
        <v>60</v>
      </c>
    </row>
    <row r="14">
      <c r="A14" t="inlineStr">
        <is>
          <t>Written 12-week protocol drafting</t>
        </is>
      </c>
      <c r="B14" s="13" t="n">
        <v>30</v>
      </c>
    </row>
    <row r="15">
      <c r="A15" s="14" t="inlineStr">
        <is>
          <t>Hotel delivery total</t>
        </is>
      </c>
      <c r="B15" s="15">
        <f>SUM(B10:B14)</f>
        <v/>
      </c>
    </row>
    <row r="17">
      <c r="A17" s="8" t="inlineStr">
        <is>
          <t>Total delivery cost</t>
        </is>
      </c>
      <c r="B17" s="15">
        <f>B7+B15</f>
        <v/>
      </c>
    </row>
    <row r="18">
      <c r="A18" s="26" t="inlineStr">
        <is>
          <t>Net to hotel (fee − pass-through)</t>
        </is>
      </c>
      <c r="B18" s="13">
        <f>B3-B7</f>
        <v/>
      </c>
    </row>
    <row r="19">
      <c r="A19" s="27" t="inlineStr">
        <is>
          <t>Contribution to hotel</t>
        </is>
      </c>
      <c r="B19" s="16">
        <f>B18-B15</f>
        <v/>
      </c>
    </row>
    <row r="20">
      <c r="A20" t="inlineStr">
        <is>
          <t>Margin on net-to-hotel</t>
        </is>
      </c>
      <c r="B20" s="28">
        <f>B19/B18</f>
        <v/>
      </c>
    </row>
  </sheetData>
  <mergeCells count="1">
    <mergeCell ref="A1:C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</cols>
  <sheetData>
    <row r="1">
      <c r="A1" s="23" t="inlineStr">
        <is>
          <t>Kaya — Movement</t>
        </is>
      </c>
    </row>
    <row r="3">
      <c r="A3" s="8" t="inlineStr">
        <is>
          <t>Programme fee (guest pays)</t>
        </is>
      </c>
      <c r="B3" s="25" t="n">
        <v>1100</v>
      </c>
    </row>
    <row r="5">
      <c r="A5" s="12" t="inlineStr">
        <is>
          <t>PASS-THROUGH (Medilab / third-party)</t>
        </is>
      </c>
      <c r="B5" s="12" t="n"/>
      <c r="C5" s="12" t="n"/>
    </row>
    <row r="6">
      <c r="A6" s="26" t="inlineStr">
        <is>
          <t>(none — no third-party pass-through)</t>
        </is>
      </c>
    </row>
    <row r="7">
      <c r="A7" s="14" t="inlineStr">
        <is>
          <t>Pass-through total</t>
        </is>
      </c>
      <c r="B7" s="15" t="n">
        <v>0</v>
      </c>
    </row>
    <row r="9">
      <c r="A9" s="12" t="inlineStr">
        <is>
          <t>HOTEL DELIVERY (clinician time + materials)</t>
        </is>
      </c>
      <c r="B9" s="12" t="n"/>
      <c r="C9" s="12" t="n"/>
    </row>
    <row r="10">
      <c r="A10" t="inlineStr">
        <is>
          <t>Kinesiologist FMS + grip + single-plate battery</t>
        </is>
      </c>
      <c r="B10" s="13" t="n">
        <v>40</v>
      </c>
    </row>
    <row r="11">
      <c r="A11" t="inlineStr">
        <is>
          <t>Kinesiologist analysis + baseline interpretation</t>
        </is>
      </c>
      <c r="B11" s="13" t="n">
        <v>20</v>
      </c>
    </row>
    <row r="12">
      <c r="A12" t="inlineStr">
        <is>
          <t>DEXA × 2 (arrival + departure)</t>
        </is>
      </c>
      <c r="B12" s="13" t="n">
        <v>80</v>
      </c>
    </row>
    <row r="13">
      <c r="A13" t="inlineStr">
        <is>
          <t>Theia3D motion capture + kinematic analysis</t>
        </is>
      </c>
      <c r="B13" s="13" t="n">
        <v>55</v>
      </c>
    </row>
    <row r="14">
      <c r="A14" t="inlineStr">
        <is>
          <t>Departure single-plate re-test</t>
        </is>
      </c>
      <c r="B14" s="13" t="n">
        <v>20</v>
      </c>
    </row>
    <row r="15">
      <c r="A15" t="inlineStr">
        <is>
          <t>Kinesiologist prescription + 8–12wk plan drafting</t>
        </is>
      </c>
      <c r="B15" s="13" t="n">
        <v>60</v>
      </c>
    </row>
    <row r="16">
      <c r="A16" s="14" t="inlineStr">
        <is>
          <t>Hotel delivery total</t>
        </is>
      </c>
      <c r="B16" s="15">
        <f>SUM(B10:B15)</f>
        <v/>
      </c>
    </row>
    <row r="18">
      <c r="A18" s="8" t="inlineStr">
        <is>
          <t>Total delivery cost</t>
        </is>
      </c>
      <c r="B18" s="15">
        <f>B7+B16</f>
        <v/>
      </c>
    </row>
    <row r="19">
      <c r="A19" s="26" t="inlineStr">
        <is>
          <t>Net to hotel (fee − pass-through)</t>
        </is>
      </c>
      <c r="B19" s="13">
        <f>B3-B7</f>
        <v/>
      </c>
    </row>
    <row r="20">
      <c r="A20" s="27" t="inlineStr">
        <is>
          <t>Contribution to hotel</t>
        </is>
      </c>
      <c r="B20" s="16">
        <f>B19-B16</f>
        <v/>
      </c>
    </row>
    <row r="21">
      <c r="A21" t="inlineStr">
        <is>
          <t>Margin on net-to-hotel</t>
        </is>
      </c>
      <c r="B21" s="28">
        <f>B20/B19</f>
        <v/>
      </c>
    </row>
  </sheetData>
  <mergeCells count="1">
    <mergeCell ref="A1:C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</cols>
  <sheetData>
    <row r="1">
      <c r="A1" s="23" t="inlineStr">
        <is>
          <t>Vikrama — Strength</t>
        </is>
      </c>
    </row>
    <row r="3">
      <c r="A3" s="8" t="inlineStr">
        <is>
          <t>Programme fee (guest pays)</t>
        </is>
      </c>
      <c r="B3" s="25" t="n">
        <v>1400</v>
      </c>
    </row>
    <row r="5">
      <c r="A5" s="12" t="inlineStr">
        <is>
          <t>PASS-THROUGH (Medilab / third-party)</t>
        </is>
      </c>
      <c r="B5" s="12" t="n"/>
      <c r="C5" s="12" t="n"/>
    </row>
    <row r="6">
      <c r="A6" t="inlineStr">
        <is>
          <t>Abbott Freestyle Libre 3 CGM sensor (14 days)</t>
        </is>
      </c>
      <c r="B6" s="13" t="n">
        <v>70</v>
      </c>
    </row>
    <row r="7">
      <c r="A7" s="14" t="inlineStr">
        <is>
          <t>Pass-through total</t>
        </is>
      </c>
      <c r="B7" s="15">
        <f>SUM(B6:B6)</f>
        <v/>
      </c>
    </row>
    <row r="9">
      <c r="A9" s="12" t="inlineStr">
        <is>
          <t>HOTEL DELIVERY (clinician time + materials)</t>
        </is>
      </c>
      <c r="B9" s="12" t="n"/>
      <c r="C9" s="12" t="n"/>
    </row>
    <row r="10">
      <c r="A10" t="inlineStr">
        <is>
          <t>VO2max + lactate threshold test delivery</t>
        </is>
      </c>
      <c r="B10" s="13" t="n">
        <v>75</v>
      </c>
    </row>
    <row r="11">
      <c r="A11" t="inlineStr">
        <is>
          <t>Biosen C-Line lactate cassettes × 6–8 + reagent</t>
        </is>
      </c>
      <c r="B11" s="13" t="n">
        <v>25</v>
      </c>
    </row>
    <row r="12">
      <c r="A12" t="inlineStr">
        <is>
          <t>VO2max + lactate profile interpretation</t>
        </is>
      </c>
      <c r="B12" s="13" t="n">
        <v>30</v>
      </c>
    </row>
    <row r="13">
      <c r="A13" t="inlineStr">
        <is>
          <t>Single-plate power + Theia3D kinematic read</t>
        </is>
      </c>
      <c r="B13" s="13" t="n">
        <v>50</v>
      </c>
    </row>
    <row r="14">
      <c r="A14" t="inlineStr">
        <is>
          <t>PT sessions × 4 (60–75min each)</t>
        </is>
      </c>
      <c r="B14" s="13" t="n">
        <v>220</v>
      </c>
    </row>
    <row r="15">
      <c r="A15" t="inlineStr">
        <is>
          <t>CGM data review + integration</t>
        </is>
      </c>
      <c r="B15" s="13" t="n">
        <v>75</v>
      </c>
    </row>
    <row r="16">
      <c r="A16" t="inlineStr">
        <is>
          <t>Written 12-week training programme drafting</t>
        </is>
      </c>
      <c r="B16" s="13" t="n">
        <v>130</v>
      </c>
    </row>
    <row r="17">
      <c r="A17" s="14" t="inlineStr">
        <is>
          <t>Hotel delivery total</t>
        </is>
      </c>
      <c r="B17" s="15">
        <f>SUM(B10:B16)</f>
        <v/>
      </c>
    </row>
    <row r="19">
      <c r="A19" s="8" t="inlineStr">
        <is>
          <t>Total delivery cost</t>
        </is>
      </c>
      <c r="B19" s="15">
        <f>B7+B17</f>
        <v/>
      </c>
    </row>
    <row r="20">
      <c r="A20" s="26" t="inlineStr">
        <is>
          <t>Net to hotel (fee − pass-through)</t>
        </is>
      </c>
      <c r="B20" s="13">
        <f>B3-B7</f>
        <v/>
      </c>
    </row>
    <row r="21">
      <c r="A21" s="27" t="inlineStr">
        <is>
          <t>Contribution to hotel</t>
        </is>
      </c>
      <c r="B21" s="16">
        <f>B20-B17</f>
        <v/>
      </c>
    </row>
    <row r="22">
      <c r="A22" t="inlineStr">
        <is>
          <t>Margin on net-to-hotel</t>
        </is>
      </c>
      <c r="B22" s="28">
        <f>B21/B20</f>
        <v/>
      </c>
    </row>
  </sheetData>
  <mergeCells count="1">
    <mergeCell ref="A1:C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</cols>
  <sheetData>
    <row r="1">
      <c r="A1" s="23" t="inlineStr">
        <is>
          <t>Agni — Gut</t>
        </is>
      </c>
    </row>
    <row r="3">
      <c r="A3" s="8" t="inlineStr">
        <is>
          <t>Programme fee (guest pays)</t>
        </is>
      </c>
      <c r="B3" s="25" t="n">
        <v>900</v>
      </c>
    </row>
    <row r="5">
      <c r="A5" s="12" t="inlineStr">
        <is>
          <t>PASS-THROUGH (Medilab / third-party)</t>
        </is>
      </c>
      <c r="B5" s="12" t="n"/>
      <c r="C5" s="12" t="n"/>
    </row>
    <row r="6">
      <c r="A6" t="inlineStr">
        <is>
          <t>Organic Acid Test (OAT)</t>
        </is>
      </c>
      <c r="B6" s="13" t="n">
        <v>150</v>
      </c>
    </row>
    <row r="7">
      <c r="A7" t="inlineStr">
        <is>
          <t>SIBO breath test</t>
        </is>
      </c>
      <c r="B7" s="13" t="n">
        <v>100</v>
      </c>
    </row>
    <row r="8">
      <c r="A8" s="14" t="inlineStr">
        <is>
          <t>Pass-through total</t>
        </is>
      </c>
      <c r="B8" s="15">
        <f>SUM(B6:B7)</f>
        <v/>
      </c>
    </row>
    <row r="10">
      <c r="A10" s="12" t="inlineStr">
        <is>
          <t>HOTEL DELIVERY (clinician time + materials)</t>
        </is>
      </c>
      <c r="B10" s="12" t="n"/>
      <c r="C10" s="12" t="n"/>
    </row>
    <row r="11">
      <c r="A11" t="inlineStr">
        <is>
          <t>HCPC dietitian intake (90min)</t>
        </is>
      </c>
      <c r="B11" s="13" t="n">
        <v>85</v>
      </c>
    </row>
    <row r="12">
      <c r="A12" t="inlineStr">
        <is>
          <t>Dietitian daily monitoring across kitchari days</t>
        </is>
      </c>
      <c r="B12" s="13" t="n">
        <v>40</v>
      </c>
    </row>
    <row r="13">
      <c r="A13" t="inlineStr">
        <is>
          <t>Dr Prasanna Kerur Agni review (30min)</t>
        </is>
      </c>
      <c r="B13" s="13" t="n">
        <v>35</v>
      </c>
    </row>
    <row r="14">
      <c r="A14" t="inlineStr">
        <is>
          <t>Sandhana ferment session (Fermentation Lead)</t>
        </is>
      </c>
      <c r="B14" s="13" t="n">
        <v>30</v>
      </c>
    </row>
    <row r="15">
      <c r="A15" t="inlineStr">
        <is>
          <t>Written 8–12 week protocol drafting</t>
        </is>
      </c>
      <c r="B15" s="13" t="n">
        <v>30</v>
      </c>
    </row>
    <row r="16">
      <c r="A16" t="inlineStr">
        <is>
          <t>Kitchari monodiet ingredients (3 days)</t>
        </is>
      </c>
      <c r="B16" s="13" t="n">
        <v>20</v>
      </c>
    </row>
    <row r="17">
      <c r="A17" t="inlineStr">
        <is>
          <t>Full 5R supplementation programme (12 weeks)</t>
        </is>
      </c>
      <c r="B17" s="13" t="n">
        <v>80</v>
      </c>
    </row>
    <row r="18">
      <c r="A18" s="14" t="inlineStr">
        <is>
          <t>Hotel delivery total</t>
        </is>
      </c>
      <c r="B18" s="15">
        <f>SUM(B11:B17)</f>
        <v/>
      </c>
    </row>
    <row r="20">
      <c r="A20" s="8" t="inlineStr">
        <is>
          <t>Total delivery cost</t>
        </is>
      </c>
      <c r="B20" s="15">
        <f>B8+B18</f>
        <v/>
      </c>
    </row>
    <row r="21">
      <c r="A21" s="26" t="inlineStr">
        <is>
          <t>Net to hotel (fee − pass-through)</t>
        </is>
      </c>
      <c r="B21" s="13">
        <f>B3-B8</f>
        <v/>
      </c>
    </row>
    <row r="22">
      <c r="A22" s="27" t="inlineStr">
        <is>
          <t>Contribution to hotel</t>
        </is>
      </c>
      <c r="B22" s="16">
        <f>B21-B18</f>
        <v/>
      </c>
    </row>
    <row r="23">
      <c r="A23" t="inlineStr">
        <is>
          <t>Margin on net-to-hotel</t>
        </is>
      </c>
      <c r="B23" s="28">
        <f>B22/B21</f>
        <v/>
      </c>
    </row>
  </sheetData>
  <mergeCells count="1">
    <mergeCell ref="A1:C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40" customWidth="1" min="3" max="3"/>
  </cols>
  <sheetData>
    <row r="1">
      <c r="A1" s="23" t="inlineStr">
        <is>
          <t>Upavasa — Fasting</t>
        </is>
      </c>
    </row>
    <row r="3">
      <c r="A3" s="8" t="inlineStr">
        <is>
          <t>Programme fee (guest pays)</t>
        </is>
      </c>
      <c r="B3" s="25" t="n">
        <v>1600</v>
      </c>
    </row>
    <row r="5">
      <c r="A5" s="12" t="inlineStr">
        <is>
          <t>PASS-THROUGH (Medilab / third-party)</t>
        </is>
      </c>
      <c r="B5" s="12" t="n"/>
      <c r="C5" s="12" t="n"/>
    </row>
    <row r="6">
      <c r="A6" t="inlineStr">
        <is>
          <t>Prolon FMD 5-day kit (L-Nutra)</t>
        </is>
      </c>
      <c r="B6" s="13" t="n">
        <v>180</v>
      </c>
    </row>
    <row r="7">
      <c r="A7" t="inlineStr">
        <is>
          <t>Abbott Freestyle Libre 3 CGM sensor</t>
        </is>
      </c>
      <c r="B7" s="13" t="n">
        <v>70</v>
      </c>
    </row>
    <row r="8">
      <c r="A8" t="inlineStr">
        <is>
          <t>Blood ketone strips + finger-prick supply</t>
        </is>
      </c>
      <c r="B8" s="13" t="n">
        <v>30</v>
      </c>
    </row>
    <row r="9">
      <c r="A9" s="14" t="inlineStr">
        <is>
          <t>Pass-through total</t>
        </is>
      </c>
      <c r="B9" s="15">
        <f>SUM(B6:B8)</f>
        <v/>
      </c>
    </row>
    <row r="11">
      <c r="A11" s="12" t="inlineStr">
        <is>
          <t>HOTEL DELIVERY (clinician time + materials)</t>
        </is>
      </c>
      <c r="B11" s="12" t="n"/>
      <c r="C11" s="12" t="n"/>
    </row>
    <row r="12">
      <c r="A12" t="inlineStr">
        <is>
          <t>Dr Shiv Chande pre-fast clearance (45min)</t>
        </is>
      </c>
      <c r="B12" s="13" t="n">
        <v>70</v>
      </c>
    </row>
    <row r="13">
      <c r="A13" t="inlineStr">
        <is>
          <t>Dr Prasanna Kerur Ayurvedic pre-fast (60min)</t>
        </is>
      </c>
      <c r="B13" s="13" t="n">
        <v>65</v>
      </c>
    </row>
    <row r="14">
      <c r="A14" t="inlineStr">
        <is>
          <t>Dr Chande daily check-in × 4–5 days</t>
        </is>
      </c>
      <c r="B14" s="13" t="n">
        <v>100</v>
      </c>
    </row>
    <row r="15">
      <c r="A15" t="inlineStr">
        <is>
          <t>Nurse supervision + biometric log × 4–5 days</t>
        </is>
      </c>
      <c r="B15" s="13" t="n">
        <v>80</v>
      </c>
    </row>
    <row r="16">
      <c r="A16" t="inlineStr">
        <is>
          <t>Dr Kerur guided kitchari re-feeding (60min)</t>
        </is>
      </c>
      <c r="B16" s="13" t="n">
        <v>65</v>
      </c>
    </row>
    <row r="17">
      <c r="A17" t="inlineStr">
        <is>
          <t>Written home-protocol drafting</t>
        </is>
      </c>
      <c r="B17" s="13" t="n">
        <v>55</v>
      </c>
    </row>
    <row r="18">
      <c r="A18" s="14" t="inlineStr">
        <is>
          <t>Hotel delivery total</t>
        </is>
      </c>
      <c r="B18" s="15">
        <f>SUM(B12:B17)</f>
        <v/>
      </c>
    </row>
    <row r="20">
      <c r="A20" s="8" t="inlineStr">
        <is>
          <t>Total delivery cost</t>
        </is>
      </c>
      <c r="B20" s="15">
        <f>B9+B18</f>
        <v/>
      </c>
    </row>
    <row r="21">
      <c r="A21" s="26" t="inlineStr">
        <is>
          <t>Net to hotel (fee − pass-through)</t>
        </is>
      </c>
      <c r="B21" s="13">
        <f>B3-B9</f>
        <v/>
      </c>
    </row>
    <row r="22">
      <c r="A22" s="27" t="inlineStr">
        <is>
          <t>Contribution to hotel</t>
        </is>
      </c>
      <c r="B22" s="16">
        <f>B21-B18</f>
        <v/>
      </c>
    </row>
    <row r="23">
      <c r="A23" t="inlineStr">
        <is>
          <t>Margin on net-to-hotel</t>
        </is>
      </c>
      <c r="B23" s="28">
        <f>B22/B21</f>
        <v/>
      </c>
    </row>
  </sheetData>
  <mergeCells count="1">
    <mergeCell ref="A1:C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  <col width="14" customWidth="1" min="3" max="3"/>
    <col width="60" customWidth="1" min="4" max="4"/>
  </cols>
  <sheetData>
    <row r="1">
      <c r="A1" s="23" t="inlineStr">
        <is>
          <t>Renovation — Capex breakdown</t>
        </is>
      </c>
    </row>
    <row r="2">
      <c r="A2" s="9" t="inlineStr">
        <is>
          <t>All figures £ thousand. Per-line estimates are quoted at the UK Outer London construction base (LF 1.00, SPONS 2024 basis). Row 18 = bulk Jersey uplift line (+8-12% Jersey materials/labour + 6-8% CPI Q3 2023 -&gt; Q3 2025 tender base = ~15-22% applied to the construction subtotal only). Section 3 includes £200k kitchenette fit-out. Row 14 = four-lift programme added Sep 2026 (spa + main x 2 replaced, south refurbished).</t>
        </is>
      </c>
    </row>
    <row r="4">
      <c r="A4" s="11" t="inlineStr">
        <is>
          <t>Section</t>
        </is>
      </c>
      <c r="B4" s="11" t="inlineStr">
        <is>
          <t>Low (£k)</t>
        </is>
      </c>
      <c r="C4" s="11" t="inlineStr">
        <is>
          <t>High (£k)</t>
        </is>
      </c>
      <c r="D4" s="11" t="inlineStr">
        <is>
          <t>Notes</t>
        </is>
      </c>
    </row>
    <row r="5" ht="42" customHeight="1">
      <c r="A5" t="inlineStr">
        <is>
          <t>Sama Clinic clinical spaces</t>
        </is>
      </c>
      <c r="B5" s="13" t="n">
        <v>210</v>
      </c>
      <c r="C5" s="13" t="n">
        <v>340</v>
      </c>
      <c r="D5" s="29" t="inlineStr">
        <is>
          <t>Fit-out of 4 Mati consultation rooms; Deha DEXA room (X-ray shielded); Kaya kinesiology room; Kanti aesthetic suite; Nidana bloods-draw; Aram wellness reception</t>
        </is>
      </c>
    </row>
    <row r="6" ht="42" customHeight="1">
      <c r="A6" t="inlineStr">
        <is>
          <t>Ayush Spa expansion</t>
        </is>
      </c>
      <c r="B6" s="13" t="n">
        <v>298</v>
      </c>
      <c r="C6" s="13" t="n">
        <v>564</v>
      </c>
      <c r="D6" s="29" t="inlineStr">
        <is>
          <t>Subdivide relaxation into 2 new treatment rooms; palette refresh across 10 rooms; enlarged sauna, expanded steam; pool water treatment (UV on the shared three-pool circuit, sea-mineral vessel split + dosing, covers on the 15m pool); changing-room refresh</t>
        </is>
      </c>
    </row>
    <row r="7" ht="42" customHeight="1">
      <c r="A7" t="inlineStr">
        <is>
          <t>Room-to-suite conversion (72 suites)</t>
        </is>
      </c>
      <c r="B7" s="13" t="n">
        <v>4131</v>
      </c>
      <c r="C7" s="13" t="n">
        <v>6100</v>
      </c>
      <c r="D7" s="29" t="inlineStr">
        <is>
          <t>Structural consolidation of ~30 room-pairs + full refurbishment of 72 suites. Tier-weighted avg ~£52k/suite (£28-125k across tiers). Includes circadian tunable-white lighting scheme, bathroom rebuild on 55 of 72 suites, soundproofing across the 113 currently lacking it, plus ~£200k kitchenette fit-out on the 15 Tier 2 Corporate Long-Stay Studios. PLUS Baubiologie-informed sleep spec on 57 wellness suites (~£20-35k: shielded cabling, grounded bed, wifi off-toggle, loam plaster feature walls). PLUS motorised blackout blinds with side channels + silent motors (Somfy / Lutron / Nice) across all 72 suites (~£90-140k) — one-touch bedside operation, no light-leak, integrable with the Phase 03 in-suite control panel. Blackout is the single most evidence-backed sleep intervention in the whole spec.</t>
        </is>
      </c>
    </row>
    <row r="8" ht="42" customHeight="1">
      <c r="A8" t="inlineStr">
        <is>
          <t>Other new spaces</t>
        </is>
      </c>
      <c r="B8" s="13" t="n">
        <v>270</v>
      </c>
      <c r="C8" s="13" t="n">
        <v>550</v>
      </c>
      <c r="D8" s="29" t="inlineStr">
        <is>
          <t>Bala Gym; Hima cryo room; Aruna red-light booth; Ninada sound-bath; Prana practice; Sandhana ferment cellar + kitchen; Siksa classroom; Vipani retail; Artha wealth-consult. Kala workshop + editing studio £122-220k (workshop room £120-215k — includes new mechanical ventilation build, full ceiling strip + rebuild, and full floor strip before new sprung timber floor; existing shell has no ventilation and degraded floor + ceiling)</t>
        </is>
      </c>
    </row>
    <row r="9" ht="42" customHeight="1">
      <c r="A9" t="inlineStr">
        <is>
          <t>Back-of-house refurbishment</t>
        </is>
      </c>
      <c r="B9" s="13" t="n">
        <v>200</v>
      </c>
      <c r="C9" s="13" t="n">
        <v>200</v>
      </c>
      <c r="D9" s="29" t="inlineStr">
        <is>
          <t>Laundry room conversion — properly-scoped commercial in-house laundry facility to run the commercial washer and dryer sets already owned. Includes upgraded ventilation with heat + humidity recovery, reinforced 3-phase power, dedicated hot/cold water + high-capacity drainage, structural reinforcement for heavy-machine floor loading, non-slip industrial flooring, full wall protection, sink stations, sorting/folding/ironing stations, machine install + commission, and full linen shelving/racking across sorted-linen and clean-linen bays. Updated to ~£200k reflecting the properly-scoped estimate for a running commercial laundry.</t>
        </is>
      </c>
    </row>
    <row r="10" ht="42" customHeight="1">
      <c r="A10" t="inlineStr">
        <is>
          <t>Guest-facing hotel refurbishment</t>
        </is>
      </c>
      <c r="B10" s="13" t="n">
        <v>690</v>
      </c>
      <c r="C10" s="13" t="n">
        <v>1295</v>
      </c>
      <c r="D10" s="29" t="inlineStr">
        <is>
          <t>Main reception + lobby lounge; Ahara envelope + bar + seating; lobby cafe insert; corridors; public toilets full renovation; brand identity + wayfinding + signage. Water filtration extension £20–35k included</t>
        </is>
      </c>
    </row>
    <row r="11" ht="42" customHeight="1">
      <c r="A11" t="inlineStr">
        <is>
          <t>Digital infrastructure — structured cabling</t>
        </is>
      </c>
      <c r="B11" s="13" t="n">
        <v>10</v>
      </c>
      <c r="C11" s="13" t="n">
        <v>15</v>
      </c>
      <c r="D11" s="29" t="inlineStr">
        <is>
          <t>Whole-property in-wall CAT6a to every suite + clinical/spa/gym/restaurant/lobby locations. PoE-capable termination; documented cable plan</t>
        </is>
      </c>
    </row>
    <row r="12" ht="42" customHeight="1">
      <c r="A12" t="inlineStr">
        <is>
          <t>Exterior &amp; grounds</t>
        </is>
      </c>
      <c r="B12" s="13" t="n">
        <v>1296</v>
      </c>
      <c r="C12" s="13" t="n">
        <v>1661</v>
      </c>
      <c r="D12" s="29" t="inlineStr">
        <is>
          <t>Driveway repave in buff clay pavers (engineering-grade, ~2,000m², fan-coursed on main drive, straight-coursed on deliveries spur, incl. tarmac strip / rigid concrete base / drainage / regrade / prelims / contingency — indicative £670k-£880k, specialist paving contractor quote pending, ESTIMATE ONLY); Bureau de Verde landscaping quoted at Tier 2 spec (£434,630 build + £36,580 design = £471,210 total, contractor selection open); paint retouch; strip and repaint exterior metalwork in Middle Bronze Green (BS381C 226); scaffolding + access; external lighting refresh; medical-centre parking access control.</t>
        </is>
      </c>
    </row>
    <row r="13">
      <c r="A13" t="inlineStr">
        <is>
          <t>Furniture, fixtures &amp; equipment (FF&amp;E) — 72 suites</t>
        </is>
      </c>
      <c r="B13" t="n">
        <v>680</v>
      </c>
      <c r="C13" t="n">
        <v>1230</v>
      </c>
      <c r="D13" t="inlineStr">
        <is>
          <t>Six-line breakdown: (1) Mattresses 72 (Vispring/Hypnos/Naturalmat class) £100-200k; (2) Bed frames + upholstered headboards £70-130k; (3) Linen bedding — 3 sets per bed for laundry rotation (400+ TC European linen or long-staple cotton, mattress protectors, duvets, 4 pillows/bed) £100-150k; (4) Bath towels + robes — 3-4 sets per bathroom (Turkish cotton or waffle) £30-50k; (5) General bedroom &amp; bathroom furniture (bedside tables, wardrobes, desks, chairs, luggage rack, mirror, hairdryer, waste bins, dispensers, hooks) £250-450k; (6) Lighting, art, mirrors, accessories (lamps, framed art, decorative mirrors, ceramics, throws, cushions, initial amenity fit-out) £130-250k. Indicative pending an interior designer's proper FF&amp;E schedule (Canola Studios to produce during Phase 2 design). Positions FF&amp;E per key at £10-15k/suite (upper-upscale to luxury), consistent with £380-550 ADR.</t>
        </is>
      </c>
    </row>
    <row r="14">
      <c r="A14" t="inlineStr">
        <is>
          <t>Lift refurbishment &amp; replacement programme</t>
        </is>
      </c>
      <c r="B14" t="n">
        <v>430</v>
      </c>
      <c r="C14" t="n">
        <v>640</v>
      </c>
      <c r="D14" t="inlineStr">
        <is>
          <t>Spa wing lift full replacement (manufacturer defunct, £120-180k) + Main Wing lift pair matched replacement (£240-360k combined) + South Wing deep refurb only, narrow shaft rules out replacement (£70-100k). Sequenced with wider renovation.</t>
        </is>
      </c>
    </row>
    <row r="15">
      <c r="A15" s="14" t="inlineStr">
        <is>
          <t>Construction subtotal</t>
        </is>
      </c>
      <c r="B15" s="15">
        <f>SUM(B5:B14)</f>
        <v/>
      </c>
      <c r="C15" s="15">
        <f>SUM(C5:C14)</f>
        <v/>
      </c>
      <c r="D15" s="14" t="n"/>
    </row>
    <row r="16">
      <c r="A16" t="inlineStr">
        <is>
          <t>Design fees (~10%)</t>
        </is>
      </c>
      <c r="B16" s="13" t="n">
        <v>822</v>
      </c>
      <c r="C16" s="13" t="n">
        <v>1260</v>
      </c>
      <c r="D16" t="inlineStr">
        <is>
          <t>Canola Studios (public areas + suites), lighting designer, Bureau de Verde</t>
        </is>
      </c>
    </row>
    <row r="17">
      <c r="A17" t="inlineStr">
        <is>
          <t>Contingency (~12%)</t>
        </is>
      </c>
      <c r="B17" s="13" t="n">
        <v>986</v>
      </c>
      <c r="C17" s="13" t="n">
        <v>1511</v>
      </c>
    </row>
    <row r="18">
      <c r="A18" t="inlineStr">
        <is>
          <t>Jersey uplift on construction subtotal (~15-22%)</t>
        </is>
      </c>
      <c r="B18">
        <f>B15*0.15</f>
        <v/>
      </c>
      <c r="C18">
        <f>C15*0.22</f>
        <v/>
      </c>
      <c r="D18" t="inlineStr">
        <is>
          <t>+8-12% Jersey materials/labour + 6-8% CPI Q3 2023 -&gt; Q3 2025 tender base. Applied ONLY to the construction subtotal (row 15) — design fees and contingency stay UK-priced. To be tightened with BdV; no published Jersey factor exists in the SPONS series.</t>
        </is>
      </c>
    </row>
    <row r="19">
      <c r="A19" s="14" t="inlineStr">
        <is>
          <t>TOTAL RENOVATION CAPEX</t>
        </is>
      </c>
      <c r="B19" s="15">
        <f>B15+B16+B17+B18</f>
        <v/>
      </c>
      <c r="C19" s="15">
        <f>C15+C16+C17+C18</f>
        <v/>
      </c>
      <c r="D19" s="14" t="n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3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14" customWidth="1" min="3" max="3"/>
    <col width="14" customWidth="1" min="4" max="4"/>
    <col width="55" customWidth="1" min="5" max="5"/>
  </cols>
  <sheetData>
    <row r="1">
      <c r="A1" s="23" t="inlineStr">
        <is>
          <t>Equipment — Capex breakdown</t>
        </is>
      </c>
    </row>
    <row r="2">
      <c r="A2" s="9" t="inlineStr">
        <is>
          <t>All figures £ thousand</t>
        </is>
      </c>
    </row>
    <row r="4">
      <c r="A4" s="11" t="inlineStr">
        <is>
          <t>Category</t>
        </is>
      </c>
      <c r="B4" s="11" t="inlineStr">
        <is>
          <t>Item</t>
        </is>
      </c>
      <c r="C4" s="11" t="inlineStr">
        <is>
          <t>Low (£k)</t>
        </is>
      </c>
      <c r="D4" s="11" t="inlineStr">
        <is>
          <t>High (£k)</t>
        </is>
      </c>
      <c r="E4" s="11" t="inlineStr">
        <is>
          <t>Notes</t>
        </is>
      </c>
    </row>
    <row r="5" ht="32" customHeight="1">
      <c r="A5" t="inlineStr">
        <is>
          <t>Deha (DEXA)</t>
        </is>
      </c>
      <c r="B5" t="inlineStr">
        <is>
          <t>GE Lunar iDXA scanner (or refurbished equivalent)</t>
        </is>
      </c>
      <c r="C5" s="13" t="n">
        <v>70</v>
      </c>
      <c r="D5" s="13" t="n">
        <v>120</v>
      </c>
      <c r="E5" s="29" t="inlineStr">
        <is>
          <t>1 unit. Refurbished at low end; new GE Lunar iDXA at top. Dedicated shielded room, JCC-registered. 10-yr amortisation</t>
        </is>
      </c>
    </row>
    <row r="6" ht="32" customHeight="1">
      <c r="A6" t="inlineStr">
        <is>
          <t>Nidra (Sleep)</t>
        </is>
      </c>
      <c r="B6" t="inlineStr">
        <is>
          <t>Orion Sleep System (72 beds — temp-controlled + contact-free tracker)</t>
        </is>
      </c>
      <c r="C6" s="13" t="n">
        <v>100</v>
      </c>
      <c r="D6" s="13" t="n">
        <v>120</v>
      </c>
      <c r="E6" s="29" t="inlineStr">
        <is>
          <t>72 units at 20–30% volume discount vs retail. 4-yr amortisation. Restricted-scope alternative: 30–40 units ~£55–80k</t>
        </is>
      </c>
    </row>
    <row r="7" ht="32" customHeight="1">
      <c r="A7" t="inlineStr">
        <is>
          <t>Nidra (Sleep)</t>
        </is>
      </c>
      <c r="B7" t="inlineStr">
        <is>
          <t>AcuPebble Acurable apnea screener</t>
        </is>
      </c>
      <c r="C7" s="13" t="n">
        <v>1.5</v>
      </c>
      <c r="D7" s="13" t="n">
        <v>2</v>
      </c>
      <c r="E7" s="29" t="inlineStr">
        <is>
          <t>1–2 units. Per-test analysis ~£80 pass-through</t>
        </is>
      </c>
    </row>
    <row r="8" ht="32" customHeight="1">
      <c r="A8" t="inlineStr">
        <is>
          <t>Kaya (Movement)</t>
        </is>
      </c>
      <c r="B8" t="inlineStr">
        <is>
          <t>Jamar hand dynamometer (clinical grade)</t>
        </is>
      </c>
      <c r="C8" s="13" t="n">
        <v>0.15</v>
      </c>
      <c r="D8" s="13" t="n">
        <v>0.3</v>
      </c>
      <c r="E8" s="29" t="inlineStr">
        <is>
          <t>1 + spare. Portable. 10-yr amortisation</t>
        </is>
      </c>
    </row>
    <row r="9" ht="32" customHeight="1">
      <c r="A9" t="inlineStr">
        <is>
          <t>Kaya (Movement)</t>
        </is>
      </c>
      <c r="B9" t="inlineStr">
        <is>
          <t>Functional Movement Screen (FMS) assessment kit</t>
        </is>
      </c>
      <c r="C9" s="13" t="n">
        <v>0.15</v>
      </c>
      <c r="D9" s="13" t="n">
        <v>0.25</v>
      </c>
      <c r="E9" s="29" t="inlineStr">
        <is>
          <t>Dowel, hurdle, board, elastic strip, scoring sheets. 5-yr amortisation</t>
        </is>
      </c>
    </row>
    <row r="10" ht="32" customHeight="1">
      <c r="A10" t="inlineStr">
        <is>
          <t>Kaya (Movement)</t>
        </is>
      </c>
      <c r="B10" t="inlineStr">
        <is>
          <t>Bioimpedance analyser + medical-grade scale (Tanita/InBody + Seca)</t>
        </is>
      </c>
      <c r="C10" s="13" t="n">
        <v>3</v>
      </c>
      <c r="D10" s="13" t="n">
        <v>5</v>
      </c>
      <c r="E10" s="29" t="inlineStr">
        <is>
          <t>1 set. 7-yr amortisation. Used on Pause/Reset/View for within-stay trend</t>
        </is>
      </c>
    </row>
    <row r="11" ht="32" customHeight="1">
      <c r="A11" t="inlineStr">
        <is>
          <t>Hima (Cryo)</t>
        </is>
      </c>
      <c r="B11" t="inlineStr">
        <is>
          <t>Cryotherapy chamber — LN2 whole-body unit</t>
        </is>
      </c>
      <c r="C11" s="13" t="n">
        <v>70</v>
      </c>
      <c r="D11" s="13" t="n">
        <v>100</v>
      </c>
      <c r="E11" s="29" t="inlineStr">
        <is>
          <t>1 unit. Includes install + commissioning. Dedicated ventilated room + LN2 storage. 7-yr amortisation</t>
        </is>
      </c>
    </row>
    <row r="12" ht="32" customHeight="1">
      <c r="A12" t="inlineStr">
        <is>
          <t>Bala (Gym)</t>
        </is>
      </c>
      <c r="B12" t="inlineStr">
        <is>
          <t>General training equipment (racks, dumbbells, cable trainer, benches, kettlebells)</t>
        </is>
      </c>
      <c r="C12" s="13" t="n">
        <v>25</v>
      </c>
      <c r="D12" s="13" t="n">
        <v>45</v>
      </c>
      <c r="E12" s="29" t="inlineStr">
        <is>
          <t>2× half-racks, adjustable dumbbell set 2–40kg, cable trainer, 3 benches, kettlebells + med balls + plyo boxes. 10-yr amortisation</t>
        </is>
      </c>
    </row>
    <row r="13" ht="32" customHeight="1">
      <c r="A13" t="inlineStr">
        <is>
          <t>Bala (Gym)</t>
        </is>
      </c>
      <c r="B13" t="inlineStr">
        <is>
          <t>Cardio equipment (2 treadmills + 2 rowers + 2 bikes)</t>
        </is>
      </c>
      <c r="C13" s="13" t="n">
        <v>18</v>
      </c>
      <c r="D13" s="13" t="n">
        <v>30</v>
      </c>
      <c r="E13" s="29" t="inlineStr">
        <is>
          <t>Woodway 4Front or Technogym Skillrun; Concept 2 RowErgs; BikeErgs/Assault Bikes. 7-yr amortisation</t>
        </is>
      </c>
    </row>
    <row r="14" ht="32" customHeight="1">
      <c r="A14" t="inlineStr">
        <is>
          <t>Bala (Gym)</t>
        </is>
      </c>
      <c r="B14" t="inlineStr">
        <is>
          <t>Metabolic cart (VO2max) — COSMED K5 or PNOE</t>
        </is>
      </c>
      <c r="C14" s="13" t="n">
        <v>15</v>
      </c>
      <c r="D14" s="13" t="n">
        <v>45</v>
      </c>
      <c r="E14" s="29" t="inlineStr">
        <is>
          <t>1 unit. PNOE £15–18k / COSMED K5 £35–45k. 7-yr amortisation. Consumables £3–8/test</t>
        </is>
      </c>
    </row>
    <row r="15" ht="32" customHeight="1">
      <c r="A15" t="inlineStr">
        <is>
          <t>Bala (Gym)</t>
        </is>
      </c>
      <c r="B15" t="inlineStr">
        <is>
          <t>Lactate analyser — EKF Biosen C-Line</t>
        </is>
      </c>
      <c r="C15" s="13" t="n">
        <v>3.5</v>
      </c>
      <c r="D15" s="13" t="n">
        <v>5</v>
      </c>
      <c r="E15" s="29" t="inlineStr">
        <is>
          <t>1 unit. Includes cassette rotor + reagents + training. Consumables £1.50–2.50/cassette. 7-yr amortisation</t>
        </is>
      </c>
    </row>
    <row r="16" ht="32" customHeight="1">
      <c r="A16" t="inlineStr">
        <is>
          <t>Bala (Gym)</t>
        </is>
      </c>
      <c r="B16" t="inlineStr">
        <is>
          <t>Force plate — Vald ForceDecks Mini (single-plate)</t>
        </is>
      </c>
      <c r="C16" s="13" t="n">
        <v>3</v>
      </c>
      <c r="D16" s="13" t="n">
        <v>5</v>
      </c>
      <c r="E16" s="29" t="inlineStr">
        <is>
          <t>1 unit. Software Y1 included; £800–1.2k/yr expensed after</t>
        </is>
      </c>
    </row>
    <row r="17" ht="32" customHeight="1">
      <c r="A17" t="inlineStr">
        <is>
          <t>Bala (Gym)</t>
        </is>
      </c>
      <c r="B17" t="inlineStr">
        <is>
          <t>Theia3D markerless motion capture (4–6 cameras + software)</t>
        </is>
      </c>
      <c r="C17" s="13" t="n">
        <v>15</v>
      </c>
      <c r="D17" s="13" t="n">
        <v>25</v>
      </c>
      <c r="E17" s="29" t="inlineStr">
        <is>
          <t>1 system. Sony RX0 II cameras + tripods, Theia3D licence, capture workstation. £3–5k/yr subscription expensed</t>
        </is>
      </c>
    </row>
    <row r="18" ht="32" customHeight="1">
      <c r="A18" t="inlineStr">
        <is>
          <t>Suites (Air Quality &amp; Digital)</t>
        </is>
      </c>
      <c r="B18" t="inlineStr">
        <is>
          <t>Philips AC2729/10 2-in-1 air purifier + humidifier</t>
        </is>
      </c>
      <c r="C18" s="13" t="n">
        <v>23</v>
      </c>
      <c r="D18" s="13" t="n">
        <v>30</v>
      </c>
      <c r="E18" s="29" t="inlineStr">
        <is>
          <t>72 units at £320–420 each. Filter/wick opex £8–11k/yr. 6–7 yr amortisation</t>
        </is>
      </c>
    </row>
    <row r="19" ht="32" customHeight="1">
      <c r="A19" t="inlineStr">
        <is>
          <t>Suites (Air Quality &amp; Digital)</t>
        </is>
      </c>
      <c r="B19" t="inlineStr">
        <is>
          <t>Organic Aromas Raindrop diffuser + 4-bottle oil selection</t>
        </is>
      </c>
      <c r="C19" s="13" t="n">
        <v>7</v>
      </c>
      <c r="D19" s="13" t="n">
        <v>8</v>
      </c>
      <c r="E19" s="29" t="inlineStr">
        <is>
          <t>72 diffusers + 288 dropper bottles. Essential-oil opex £6–10k/yr</t>
        </is>
      </c>
    </row>
    <row r="20" ht="32" customHeight="1">
      <c r="A20" t="inlineStr">
        <is>
          <t>Suites (Air Quality &amp; Digital)</t>
        </is>
      </c>
      <c r="B20" t="inlineStr">
        <is>
          <t>Enterprise WiFi mesh + per-room VLAN</t>
        </is>
      </c>
      <c r="C20" s="13" t="n">
        <v>22</v>
      </c>
      <c r="D20" s="13" t="n">
        <v>35</v>
      </c>
      <c r="E20" s="29" t="inlineStr">
        <is>
          <t>30–36 APs + controller + switches + firewall + install. Ongoing sub £2–5k/yr. 5–7 yr amortisation. Phase 03 in-suite panels deferred</t>
        </is>
      </c>
    </row>
    <row r="21" ht="32" customHeight="1">
      <c r="A21" t="inlineStr">
        <is>
          <t>Kanti (Aesthetic)</t>
        </is>
      </c>
      <c r="B21" t="inlineStr">
        <is>
          <t>VISIA-CR imaging system</t>
        </is>
      </c>
      <c r="C21" s="13" t="n">
        <v>15</v>
      </c>
      <c r="D21" s="13" t="n">
        <v>25</v>
      </c>
      <c r="E21" s="29" t="inlineStr">
        <is>
          <t>Canfield VISIA-CR or Korean alternatives. 7-yr amortisation</t>
        </is>
      </c>
    </row>
    <row r="22" ht="32" customHeight="1">
      <c r="A22" t="inlineStr">
        <is>
          <t>Kanti (Aesthetic)</t>
        </is>
      </c>
      <c r="B22" t="inlineStr">
        <is>
          <t>HIFU device (Ultherapy or Korean alternative)</t>
        </is>
      </c>
      <c r="C22" s="13" t="n">
        <v>50</v>
      </c>
      <c r="D22" s="13" t="n">
        <v>85</v>
      </c>
      <c r="E22" s="29" t="inlineStr">
        <is>
          <t>Merz Ultherapy ~£60–85k or Classys Ultraformer/Wontech LDM £25–50k. Per-treatment consumable £40–80</t>
        </is>
      </c>
    </row>
    <row r="23" ht="32" customHeight="1">
      <c r="A23" t="inlineStr">
        <is>
          <t>Kanti (Aesthetic)</t>
        </is>
      </c>
      <c r="B23" t="inlineStr">
        <is>
          <t>RF microneedling (Morpheus8 or Korean alternative)</t>
        </is>
      </c>
      <c r="C23" s="13" t="n">
        <v>40</v>
      </c>
      <c r="D23" s="13" t="n">
        <v>65</v>
      </c>
      <c r="E23" s="29" t="inlineStr">
        <is>
          <t>InMode Morpheus8 or Secret RF/Genius/Vivace alternatives. Per-treatment tip £30–60</t>
        </is>
      </c>
    </row>
    <row r="24" ht="32" customHeight="1">
      <c r="A24" t="inlineStr">
        <is>
          <t>Kanti (Aesthetic)</t>
        </is>
      </c>
      <c r="B24" t="inlineStr">
        <is>
          <t>Hydrafacial (Elite or Korean alternative)</t>
        </is>
      </c>
      <c r="C24" s="13" t="n">
        <v>22</v>
      </c>
      <c r="D24" s="13" t="n">
        <v>35</v>
      </c>
      <c r="E24" s="29" t="inlineStr">
        <is>
          <t>BeautyHealth Elite or Classys Aquasure H2 / JJmed Aquapure. Per-treatment serum £15–40</t>
        </is>
      </c>
    </row>
    <row r="25" ht="32" customHeight="1">
      <c r="A25" t="inlineStr">
        <is>
          <t>Aruna (Red-light)</t>
        </is>
      </c>
      <c r="B25" t="inlineStr">
        <is>
          <t>LED red-light therapy panel system</t>
        </is>
      </c>
      <c r="C25" s="13" t="n">
        <v>8</v>
      </c>
      <c r="D25" s="13" t="n">
        <v>20</v>
      </c>
      <c r="E25" s="29" t="inlineStr">
        <is>
          <t>2–3 panels for full-body booth. Celluma PRO / LightStim Pro / Cellreturn Platinum / CureLight. 7-yr amortisation</t>
        </is>
      </c>
    </row>
    <row r="26" ht="32" customHeight="1">
      <c r="A26" t="inlineStr">
        <is>
          <t>Kala (Content)</t>
        </is>
      </c>
      <c r="B26" t="inlineStr">
        <is>
          <t>Artist workshop + editing studio bundle</t>
        </is>
      </c>
      <c r="C26" s="13" t="n">
        <v>33</v>
      </c>
      <c r="D26" s="13" t="n">
        <v>66</v>
      </c>
      <c r="E26" s="29" t="inlineStr">
        <is>
          <t>Workshop furniture + live-stream AV (PTZ cameras, switcher, distributed audio); green-screen; editing studio (Mac Studio, monitors, mics, audio interface). 5–7 yr amortisation. Toggle off if artist-in-residence not run</t>
        </is>
      </c>
    </row>
    <row r="27" ht="32" customHeight="1">
      <c r="A27" t="inlineStr">
        <is>
          <t>Siksa (Fermentation)</t>
        </is>
      </c>
      <c r="B27" t="inlineStr">
        <is>
          <t>Classroom furniture + glassware + teaching kit</t>
        </is>
      </c>
      <c r="C27" s="13" t="n">
        <v>5</v>
      </c>
      <c r="D27" s="13" t="n">
        <v>11</v>
      </c>
      <c r="E27" s="29" t="inlineStr">
        <is>
          <t>2–3 communal tables (10–12 seats each), chairs, storage cabinetry, kettles + hot plates + scales + glassware + jars + starter-kit packaging. 5–7 yr amortisation</t>
        </is>
      </c>
    </row>
    <row r="28" ht="32" customHeight="1">
      <c r="A28" t="inlineStr">
        <is>
          <t>Outdoor Activities</t>
        </is>
      </c>
      <c r="B28" t="inlineStr">
        <is>
          <t>E-bike fleet (6–8 bikes) + accessories + store install</t>
        </is>
      </c>
      <c r="C28" s="13" t="n">
        <v>16</v>
      </c>
      <c r="D28" s="13" t="n">
        <v>30</v>
      </c>
      <c r="E28" s="29" t="inlineStr">
        <is>
          <t>6–8 mid-market touring e-bikes; helmets/panniers/locks/hi-vis; covered bike store + service retainer</t>
        </is>
      </c>
    </row>
    <row r="29" ht="32" customHeight="1">
      <c r="A29" t="inlineStr">
        <is>
          <t>Outdoor Activities</t>
        </is>
      </c>
      <c r="B29" t="inlineStr">
        <is>
          <t>Stargazing kit</t>
        </is>
      </c>
      <c r="C29" s="13" t="n">
        <v>4.6</v>
      </c>
      <c r="D29" s="13" t="n">
        <v>4.6</v>
      </c>
      <c r="E29" s="29" t="inlineStr">
        <is>
          <t>Celestron NexStar 8SE + binoculars (Canon 10x42L IS + 4× Nikon Aculon) + planisphere + red-torches</t>
        </is>
      </c>
    </row>
    <row r="30" ht="32" customHeight="1">
      <c r="A30" t="inlineStr">
        <is>
          <t>Outdoor Activities</t>
        </is>
      </c>
      <c r="B30" t="inlineStr">
        <is>
          <t>Sea swim kit</t>
        </is>
      </c>
      <c r="C30" s="13" t="n">
        <v>3</v>
      </c>
      <c r="D30" s="13" t="n">
        <v>3</v>
      </c>
      <c r="E30" s="29" t="inlineStr">
        <is>
          <t>~15 branded dry robes + tow floats + first-aid + branded neoprene caps</t>
        </is>
      </c>
    </row>
    <row r="31" ht="32" customHeight="1">
      <c r="A31" t="inlineStr">
        <is>
          <t>Outdoor Activities</t>
        </is>
      </c>
      <c r="B31" t="inlineStr">
        <is>
          <t>The Walk (route + kit)</t>
        </is>
      </c>
      <c r="C31" s="13" t="n">
        <v>1</v>
      </c>
      <c r="D31" s="13" t="n">
        <v>1</v>
      </c>
      <c r="E31" s="29" t="inlineStr">
        <is>
          <t>Laminated route cards, hiking poles pool, OS maps, thermoses</t>
        </is>
      </c>
    </row>
    <row r="32" ht="32" customHeight="1">
      <c r="A32" t="inlineStr">
        <is>
          <t>Outdoor Activities</t>
        </is>
      </c>
      <c r="B32" t="inlineStr">
        <is>
          <t>Foraging + sunrise/sunset kit</t>
        </is>
      </c>
      <c r="C32" s="13" t="n">
        <v>0.2</v>
      </c>
      <c r="D32" s="13" t="n">
        <v>0.2</v>
      </c>
      <c r="E32" s="29" t="inlineStr">
        <is>
          <t>Baskets + paper bags + laminated seasonal sunrise/sunset cards</t>
        </is>
      </c>
    </row>
    <row r="33">
      <c r="A33" s="14" t="inlineStr">
        <is>
          <t>TOTAL EQUIPMENT CAPEX</t>
        </is>
      </c>
      <c r="B33" s="14" t="n"/>
      <c r="C33" s="15">
        <f>SUM(C5:C32)</f>
        <v/>
      </c>
      <c r="D33" s="15">
        <f>SUM(D5:D32)</f>
        <v/>
      </c>
      <c r="E33" s="14" t="n"/>
    </row>
    <row r="35" ht="60" customHeight="1">
      <c r="A35" s="8" t="inlineStr">
        <is>
          <t>Reconciliation note</t>
        </is>
      </c>
      <c r="B35" s="29" t="inlineStr">
        <is>
          <t>Renovation page cites Equipment capex as £489k–£808k. The delta vs. line-sum reflects: (a) Kala bundle sits under artist-in-residence toggle, (b) some optional items excluded from core figure, (c) Orion at restricted-scope (30–40 units) vs full 72-suite scope.</t>
        </is>
      </c>
    </row>
  </sheetData>
  <mergeCells count="1">
    <mergeCell ref="B35:E35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60" customWidth="1" min="4" max="4"/>
    <col width="14" customWidth="1" min="5" max="5"/>
    <col width="14" customWidth="1" min="6" max="6"/>
  </cols>
  <sheetData>
    <row r="1">
      <c r="A1" s="23" t="inlineStr">
        <is>
          <t>Investment — Capital structure &amp; returns</t>
        </is>
      </c>
    </row>
    <row r="2">
      <c r="A2" t="inlineStr">
        <is>
          <t>All financial numbers now include the bulk Jersey uplift line (+15-22% on the renovation construction subtotal, ~£1.23M-£2.77M) unbundled from per-line rates on 2026-09-27 — see the Renovation page SPONS callout for the UK Outer London base vs Jersey premium split. Still includes: indicative driveway paving estimate (£670k-£880k — contractor quote pending), £200k kitchenette fit-out, Baubiologie-informed sleep spec, ECG, motorised blackout blinds across all 72 suites, £200k laundry room fit-out, £680-1,230k FF&amp;E line, 8x iPad Air 13" tablet pool. Y5 utilisation deliberately landed at peer-median (62% Modelled) rather than aspirational.</t>
        </is>
      </c>
    </row>
    <row r="3">
      <c r="A3" s="12" t="inlineStr">
        <is>
          <t>HEADLINE CAPITAL STRUCTURE</t>
        </is>
      </c>
      <c r="B3" s="12" t="n"/>
      <c r="C3" s="12" t="n"/>
      <c r="D3" s="12" t="n"/>
    </row>
    <row r="4">
      <c r="A4" s="11" t="inlineStr">
        <is>
          <t>Item</t>
        </is>
      </c>
      <c r="B4" s="11" t="inlineStr">
        <is>
          <t>Low</t>
        </is>
      </c>
      <c r="C4" s="11" t="inlineStr">
        <is>
          <t>High</t>
        </is>
      </c>
      <c r="D4" s="11" t="inlineStr">
        <is>
          <t>Notes</t>
        </is>
      </c>
    </row>
    <row r="5">
      <c r="A5" t="inlineStr">
        <is>
          <t>Total capital required</t>
        </is>
      </c>
      <c r="B5" s="30" t="n">
        <v>13.75</v>
      </c>
      <c r="C5" s="30" t="n">
        <v>22.38</v>
      </c>
      <c r="D5" t="inlineStr">
        <is>
          <t>£M — Low / High range</t>
        </is>
      </c>
    </row>
    <row r="6">
      <c r="A6" t="inlineStr">
        <is>
          <t>Upfront capex</t>
        </is>
      </c>
      <c r="B6" s="30" t="n">
        <v>13.05</v>
      </c>
      <c r="C6" s="30" t="n">
        <v>20.88</v>
      </c>
      <c r="D6" t="inlineStr">
        <is>
          <t>£M — Low / High range. Now includes the bulk Jersey uplift line (+~£1.23M-£2.77M on renovation construction subtotal). Still includes BdV Tier 2 landscaping £471k, indicative driveway paving estimate £670k-£880k (contractor quote pending — ESTIMATE), £200k kitchenette fit-out for 15 Tier 2 corporate long-stay studios, Baubiologie-informed sleep spec (~£20-35k), ECG for Sama Clinic (~£3-4k), motorised blackout blinds with side channels + silent motors across all 72 suites (~£90-140k), £200k laundry room properly-scoped, £680-1,230k FF&amp;E line for the 72 suites, and 8x iPad Air 13" concierge-loan tablet pool (~£11k).</t>
        </is>
      </c>
    </row>
    <row r="7">
      <c r="A7" t="inlineStr">
        <is>
          <t>Working capital / Y1-Y2 operating loss buffer</t>
        </is>
      </c>
      <c r="B7" s="30" t="n">
        <v>0.7</v>
      </c>
      <c r="C7" s="30" t="n">
        <v>1.5</v>
      </c>
      <c r="D7" t="inlineStr">
        <is>
          <t>£M</t>
        </is>
      </c>
    </row>
    <row r="8">
      <c r="A8" t="inlineStr">
        <is>
          <t>External investor cheque (raise)</t>
        </is>
      </c>
      <c r="B8" s="30" t="n">
        <v>7</v>
      </c>
      <c r="C8" s="30" t="n">
        <v>16.69</v>
      </c>
      <c r="D8" t="inlineStr">
        <is>
          <t>£M — Low / High. Midpoint £11.85M.</t>
        </is>
      </c>
    </row>
    <row r="9">
      <c r="A9" t="inlineStr">
        <is>
          <t>Equity % offered to external investor</t>
        </is>
      </c>
      <c r="B9" s="31" t="n">
        <v>22.8</v>
      </c>
      <c r="C9" s="31" t="n">
        <v>41.32</v>
      </c>
      <c r="D9" t="inlineStr">
        <is>
          <t>% — Low / High. Midpoint 33.33%.</t>
        </is>
      </c>
    </row>
    <row r="10">
      <c r="A10" t="inlineStr">
        <is>
          <t>Parker family retained equity (The Long Group)</t>
        </is>
      </c>
      <c r="B10" s="31" t="n">
        <v>58.68</v>
      </c>
      <c r="C10" s="31" t="n">
        <v>77.2</v>
      </c>
      <c r="D10" t="inlineStr">
        <is>
          <t>%</t>
        </is>
      </c>
    </row>
    <row r="11">
      <c r="A11" t="inlineStr">
        <is>
          <t>Pre-money valuation (Parker anchor, constant)</t>
        </is>
      </c>
      <c r="B11" s="30" t="n">
        <v>23.7</v>
      </c>
      <c r="C11" s="30" t="n">
        <v>23.7</v>
      </c>
      <c r="D11" t="inlineStr">
        <is>
          <t>£M</t>
        </is>
      </c>
    </row>
    <row r="12">
      <c r="A12" t="inlineStr">
        <is>
          <t>Post-money valuation</t>
        </is>
      </c>
      <c r="B12" s="30" t="n">
        <v>30.7</v>
      </c>
      <c r="C12" s="30" t="n">
        <v>40.39</v>
      </c>
      <c r="D12" t="inlineStr">
        <is>
          <t>£M — Low / High</t>
        </is>
      </c>
    </row>
    <row r="13">
      <c r="A13" t="inlineStr">
        <is>
          <t>Parker cash contribution (NPV @ 8%)</t>
        </is>
      </c>
      <c r="B13" s="30" t="n">
        <v>5.16</v>
      </c>
      <c r="C13" s="30" t="n">
        <v>5.91</v>
      </c>
      <c r="D13" t="inlineStr">
        <is>
          <t>£M — Midpoint £5.54M — see breakdown below</t>
        </is>
      </c>
    </row>
    <row r="14">
      <c r="A14" t="inlineStr">
        <is>
          <t>Parker in-kind contribution (lease NPV + intangibles)</t>
        </is>
      </c>
      <c r="B14" s="30" t="n">
        <v>15.71</v>
      </c>
      <c r="C14" s="30" t="n">
        <v>22.6</v>
      </c>
      <c r="D14" t="inlineStr">
        <is>
          <t>£M</t>
        </is>
      </c>
    </row>
    <row r="17">
      <c r="A17" s="12" t="inlineStr">
        <is>
          <t>PARKER FAMILY CASH — SOURCES &amp; TIMING</t>
        </is>
      </c>
      <c r="B17" s="12" t="n"/>
      <c r="C17" s="12" t="n"/>
      <c r="D17" s="12" t="n"/>
    </row>
    <row r="18">
      <c r="A18" s="11" t="inlineStr">
        <is>
          <t>Source</t>
        </is>
      </c>
      <c r="B18" s="11" t="inlineStr">
        <is>
          <t>Amount (£)</t>
        </is>
      </c>
      <c r="C18" s="11" t="inlineStr">
        <is>
          <t>Timing</t>
        </is>
      </c>
      <c r="D18" s="11" t="inlineStr">
        <is>
          <t>Notes</t>
        </is>
      </c>
    </row>
    <row r="19">
      <c r="A19" s="32" t="inlineStr">
        <is>
          <t>Committed capital — drawn 2026-2029 (upfront)</t>
        </is>
      </c>
    </row>
    <row r="20" ht="32" customHeight="1">
      <c r="A20" t="inlineStr">
        <is>
          <t>Sale of Westview flat</t>
        </is>
      </c>
      <c r="B20" s="13" t="n">
        <v>728000</v>
      </c>
      <c r="C20" s="33" t="inlineStr">
        <is>
          <t>Available</t>
        </is>
      </c>
      <c r="D20" s="18" t="inlineStr">
        <is>
          <t>Parker-family property sale directed at The Long Hotel</t>
        </is>
      </c>
    </row>
    <row r="21" ht="32" customHeight="1">
      <c r="A21" t="inlineStr">
        <is>
          <t>Guernsey Development — first tranche</t>
        </is>
      </c>
      <c r="B21" s="13" t="n">
        <v>500000</v>
      </c>
      <c r="C21" s="33" t="inlineStr">
        <is>
          <t>September / October 2026</t>
        </is>
      </c>
      <c r="D21" s="18" t="inlineStr">
        <is>
          <t>Family investment realisation</t>
        </is>
      </c>
    </row>
    <row r="22" ht="32" customHeight="1">
      <c r="A22" t="inlineStr">
        <is>
          <t>Sale of Turkey property</t>
        </is>
      </c>
      <c r="B22" s="13" t="n">
        <v>500000</v>
      </c>
      <c r="C22" s="33" t="inlineStr">
        <is>
          <t>By end of 2026</t>
        </is>
      </c>
      <c r="D22" s="18" t="inlineStr">
        <is>
          <t>Parker-family property sale directed at The Long Hotel</t>
        </is>
      </c>
    </row>
    <row r="23" ht="32" customHeight="1">
      <c r="A23" t="inlineStr">
        <is>
          <t>Sale of The Lodge</t>
        </is>
      </c>
      <c r="B23" s="13" t="n">
        <v>1400000</v>
      </c>
      <c r="C23" s="33" t="inlineStr">
        <is>
          <t>By end of 2027</t>
        </is>
      </c>
      <c r="D23" s="18" t="inlineStr">
        <is>
          <t>Parker-family property sale directed at The Long Hotel</t>
        </is>
      </c>
    </row>
    <row r="24" ht="32" customHeight="1">
      <c r="A24" t="inlineStr">
        <is>
          <t>Guernsey Development — second tranche</t>
        </is>
      </c>
      <c r="B24" s="13" t="n">
        <v>1000000</v>
      </c>
      <c r="C24" s="33" t="inlineStr">
        <is>
          <t>By 2029</t>
        </is>
      </c>
      <c r="D24" s="18" t="inlineStr">
        <is>
          <t>Family investment realisation. If launch runs Y1 2028, this tranche arrives during ramp-up and effectively cushions early working capital</t>
        </is>
      </c>
    </row>
    <row r="25">
      <c r="A25" s="14" t="inlineStr">
        <is>
          <t>Upfront subtotal — nominal</t>
        </is>
      </c>
      <c r="B25" s="15">
        <f>SUM(B20:B24)</f>
        <v/>
      </c>
      <c r="C25" s="14" t="inlineStr">
        <is>
          <t>2026-2029</t>
        </is>
      </c>
      <c r="D25" s="14" t="n"/>
    </row>
    <row r="26" ht="28" customHeight="1">
      <c r="A26" s="14" t="inlineStr">
        <is>
          <t>Upfront — NPV at 8% discount</t>
        </is>
      </c>
      <c r="B26" s="15" t="n">
        <v>3790000</v>
      </c>
      <c r="C26" s="14" t="inlineStr">
        <is>
          <t>Present value</t>
        </is>
      </c>
      <c r="D26" s="34" t="inlineStr">
        <is>
          <t>Reflects timing of realisations 2026-2029. £1M 2029 tranche takes the largest discount.</t>
        </is>
      </c>
    </row>
    <row r="28">
      <c r="A28" s="32" t="inlineStr">
        <is>
          <t>Ongoing operating capital — ramp-up (first 3-5 years)</t>
        </is>
      </c>
    </row>
    <row r="29" ht="45" customHeight="1">
      <c r="A29" t="inlineStr">
        <is>
          <t>Parker family other businesses</t>
        </is>
      </c>
      <c r="B29" s="35" t="n">
        <v>500000</v>
      </c>
      <c r="C29" s="33" t="inlineStr">
        <is>
          <t>per year, first 3-5 years</t>
        </is>
      </c>
      <c r="D29" s="18" t="inlineStr">
        <is>
          <t>Operating cash flow from other Parker-family business interests, directed at The Long Hotel during the ramp-up period</t>
        </is>
      </c>
    </row>
    <row r="30" ht="45" customHeight="1">
      <c r="A30" t="inlineStr">
        <is>
          <t>HdF Group surplus routed via Healthhaus structure</t>
        </is>
      </c>
      <c r="B30" s="35" t="n">
        <v>30000</v>
      </c>
      <c r="C30" s="33" t="inlineStr">
        <is>
          <t>per year, across the ramp</t>
        </is>
      </c>
      <c r="D30" s="18" t="inlineStr">
        <is>
          <t>HdF surplus after servicing pre-existing property debt (~£665k/yr) and property costs, routed to The Long Hotel via additional Healthhaus spa-facility payment. Economically a Parker capital contribution — recorded on Investment page not in the operating P&amp;L. Actual amount depends on HdF property-cost position each year</t>
        </is>
      </c>
    </row>
    <row r="31">
      <c r="A31" s="14" t="inlineStr">
        <is>
          <t>Ongoing — nominal across ramp-up</t>
        </is>
      </c>
      <c r="B31" s="14" t="inlineStr">
        <is>
          <t>£1.59M – £2.65M</t>
        </is>
      </c>
      <c r="C31" s="14" t="inlineStr">
        <is>
          <t>3 yrs £1.59M · 5 yrs £2.65M</t>
        </is>
      </c>
      <c r="D31" s="14" t="n"/>
    </row>
    <row r="32">
      <c r="A32" s="14" t="inlineStr">
        <is>
          <t>Ongoing — NPV at 8% discount</t>
        </is>
      </c>
      <c r="B32" s="14" t="inlineStr">
        <is>
          <t>£1.37M – £2.12M</t>
        </is>
      </c>
      <c r="C32" s="14" t="inlineStr">
        <is>
          <t>Present value, 3-5 yrs</t>
        </is>
      </c>
      <c r="D32" s="14" t="n"/>
    </row>
    <row r="34">
      <c r="A34" s="14" t="inlineStr">
        <is>
          <t>TOTAL PARKER CASH CONTRIBUTION — NOMINAL</t>
        </is>
      </c>
      <c r="B34" s="14" t="inlineStr">
        <is>
          <t>£5.7M – £6.75M</t>
        </is>
      </c>
      <c r="C34" s="14" t="inlineStr">
        <is>
          <t>Upfront + ramp-up</t>
        </is>
      </c>
      <c r="D34" s="14" t="n"/>
    </row>
    <row r="35">
      <c r="A35" s="14" t="inlineStr">
        <is>
          <t>TOTAL PARKER CASH CONTRIBUTION — NPV AT 8%</t>
        </is>
      </c>
      <c r="B35" s="14" t="inlineStr">
        <is>
          <t>~£5.16M – £5.91M</t>
        </is>
      </c>
      <c r="C35" s="14" t="inlineStr">
        <is>
          <t>Midpoint £5.54M</t>
        </is>
      </c>
      <c r="D35" s="14" t="n"/>
    </row>
    <row r="37">
      <c r="A37" s="36" t="inlineStr">
        <is>
          <t>Structural note — HdF Group surplus routing via Healthhaus</t>
        </is>
      </c>
    </row>
    <row r="38" ht="65" customHeight="1">
      <c r="A38" s="18" t="inlineStr">
        <is>
          <t>The ~£30k/yr HdF surplus is routed to The Long Hotel through the Healthhaus spa-facility payment rather than as a direct intercompany transfer. Direct transfer would first crystallise as HdF property profit (Jersey 20% property income tax), leaving only 80p per pound to reach the operating vehicle. Structuring the payment as spa-facility rather than rent keeps the surplus tax-efficient. Economically a Parker capital contribution — recorded on this tab, deliberately kept out of the operating P&amp;L.</t>
        </is>
      </c>
    </row>
    <row r="40">
      <c r="A40" s="12" t="inlineStr">
        <is>
          <t>Y5 RETURN SCENARIOS</t>
        </is>
      </c>
      <c r="B40" s="12" t="n"/>
      <c r="C40" s="12" t="n"/>
      <c r="D40" s="12" t="n"/>
      <c r="E40" s="12" t="n"/>
      <c r="F40" s="12" t="n"/>
    </row>
    <row r="41">
      <c r="A41" s="11" t="inlineStr">
        <is>
          <t>Scenario</t>
        </is>
      </c>
      <c r="B41" s="11" t="inlineStr">
        <is>
          <t>Y5 PBT (£M)</t>
        </is>
      </c>
      <c r="C41" s="11" t="inlineStr">
        <is>
          <t>Y5 EBITDA (£M)</t>
        </is>
      </c>
      <c r="D41" s="11" t="inlineStr">
        <is>
          <t>EV @ 8×</t>
        </is>
      </c>
      <c r="E41" s="11" t="inlineStr">
        <is>
          <t>EV @ 10×</t>
        </is>
      </c>
      <c r="F41" s="11" t="inlineStr">
        <is>
          <t>EV @ 12×</t>
        </is>
      </c>
    </row>
    <row r="42">
      <c r="A42" t="inlineStr">
        <is>
          <t>Pessimistic</t>
        </is>
      </c>
      <c r="B42" s="30" t="n">
        <v>1.72</v>
      </c>
      <c r="C42" s="30" t="n">
        <v>2.65</v>
      </c>
      <c r="D42" s="30" t="n">
        <v>21</v>
      </c>
      <c r="E42" s="30" t="n">
        <v>27</v>
      </c>
      <c r="F42" s="30" t="n">
        <v>32</v>
      </c>
    </row>
    <row r="43">
      <c r="A43" t="inlineStr">
        <is>
          <t>Modelled</t>
        </is>
      </c>
      <c r="B43" s="30" t="n">
        <v>2.49</v>
      </c>
      <c r="C43" s="30" t="n">
        <v>3.42</v>
      </c>
      <c r="D43" s="30" t="n">
        <v>27</v>
      </c>
      <c r="E43" s="30" t="n">
        <v>34</v>
      </c>
      <c r="F43" s="30" t="n">
        <v>41</v>
      </c>
    </row>
    <row r="44">
      <c r="A44" t="inlineStr">
        <is>
          <t>Optimistic</t>
        </is>
      </c>
      <c r="B44" s="30" t="n">
        <v>3.04</v>
      </c>
      <c r="C44" s="30" t="n">
        <v>3.97</v>
      </c>
      <c r="D44" s="30" t="n">
        <v>32</v>
      </c>
      <c r="E44" s="30" t="n">
        <v>40</v>
      </c>
      <c r="F44" s="30" t="n">
        <v>48</v>
      </c>
    </row>
    <row r="47">
      <c r="A47" s="12" t="inlineStr">
        <is>
          <t>RETURN MULTIPLIERS (midpoint £11.85M cheque / 33.33% stake)</t>
        </is>
      </c>
      <c r="B47" s="12" t="n"/>
      <c r="C47" s="12" t="n"/>
      <c r="D47" s="12" t="n"/>
    </row>
    <row r="48">
      <c r="A48" s="11" t="inlineStr">
        <is>
          <t>Case</t>
        </is>
      </c>
      <c r="B48" s="11" t="inlineStr">
        <is>
          <t>Y5 EV (£M)</t>
        </is>
      </c>
      <c r="C48" s="11" t="inlineStr">
        <is>
          <t>Value of 33.33% stake (£M)</t>
        </is>
      </c>
      <c r="D48" s="11" t="inlineStr">
        <is>
          <t>Multiple</t>
        </is>
      </c>
    </row>
    <row r="49">
      <c r="A49" t="inlineStr">
        <is>
          <t>Modelled preset @ 10× EBITDA</t>
        </is>
      </c>
      <c r="B49" s="30" t="n">
        <v>34</v>
      </c>
      <c r="C49" s="30" t="n">
        <v>11.33</v>
      </c>
      <c r="D49" s="37" t="n">
        <v>0.96</v>
      </c>
    </row>
    <row r="50">
      <c r="A50" t="inlineStr">
        <is>
          <t>Modelled preset @ 12× EBITDA</t>
        </is>
      </c>
      <c r="B50" s="30" t="n">
        <v>41</v>
      </c>
      <c r="C50" s="30" t="n">
        <v>13.67</v>
      </c>
      <c r="D50" s="37" t="n">
        <v>1.15</v>
      </c>
    </row>
    <row r="51">
      <c r="A51" t="inlineStr">
        <is>
          <t>Optimistic preset @ 12× EBITDA</t>
        </is>
      </c>
      <c r="B51" s="30" t="n">
        <v>48</v>
      </c>
      <c r="C51" s="30" t="n">
        <v>16</v>
      </c>
      <c r="D51" s="37" t="n">
        <v>1.35</v>
      </c>
    </row>
    <row r="54" ht="40" customHeight="1">
      <c r="A54" s="22" t="inlineStr">
        <is>
          <t>Framed on the Investment page as "a 0.93-1.32x / five-year investment" on the mid case at 10-12x EBITDA (revised 2026-09-27 following Jersey uplift cascade from the Renovation page — external cheque midpoint moved from £9.85M to £11.85M, diluting the investor multiple)</t>
        </is>
      </c>
    </row>
  </sheetData>
  <mergeCells count="4">
    <mergeCell ref="A28:D28"/>
    <mergeCell ref="A38:D38"/>
    <mergeCell ref="A19:D19"/>
    <mergeCell ref="A54:D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2026-08-23T19:35:16Z</dcterms:created>
  <dcterms:modified xmlns:dcterms="http://purl.org/dc/terms/" xmlns:xsi="http://www.w3.org/2001/XMLSchema-instance" xsi:type="dcterms:W3CDTF">2026-09-27T16:12:08Z</dcterms:modified>
</cp:coreProperties>
</file>